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823CE637-A069-DB45-ACAB-E370882B8859}" xr6:coauthVersionLast="47" xr6:coauthVersionMax="47" xr10:uidLastSave="{00000000-0000-0000-0000-000000000000}"/>
  <bookViews>
    <workbookView xWindow="0" yWindow="760" windowWidth="30240" windowHeight="17380"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Table'!$A$1:$E$40</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a="1"/>
  <c r="A4" i="11" s="1"/>
  <c r="E2" i="9" a="1"/>
  <c r="E2" i="9" s="1"/>
  <c r="I8" i="1"/>
  <c r="I7" i="1"/>
  <c r="I6" i="1"/>
  <c r="I5" i="1"/>
  <c r="I4" i="1"/>
  <c r="I3" i="1"/>
  <c r="B26" i="7"/>
  <c r="B25" i="7"/>
  <c r="B24" i="7"/>
  <c r="B23" i="7"/>
  <c r="B22" i="7"/>
  <c r="B21" i="7"/>
  <c r="B20" i="7"/>
  <c r="B19" i="7"/>
  <c r="B18" i="7"/>
  <c r="B17" i="7"/>
  <c r="B16" i="7"/>
  <c r="B15" i="7"/>
  <c r="B14" i="7"/>
  <c r="B13" i="7"/>
  <c r="B12" i="7"/>
  <c r="B11" i="7"/>
  <c r="B10" i="7"/>
  <c r="B9" i="7"/>
  <c r="B8" i="7"/>
  <c r="B7" i="7"/>
  <c r="B6" i="7"/>
  <c r="B5" i="7"/>
  <c r="B4" i="7"/>
  <c r="R8" i="7" s="1"/>
  <c r="B26" i="6"/>
  <c r="B25" i="6"/>
  <c r="B24" i="6"/>
  <c r="B23" i="6"/>
  <c r="B22" i="6"/>
  <c r="B21" i="6"/>
  <c r="B20" i="6"/>
  <c r="B19" i="6"/>
  <c r="B18" i="6"/>
  <c r="B17" i="6"/>
  <c r="B16" i="6"/>
  <c r="B15" i="6"/>
  <c r="B14" i="6"/>
  <c r="B13" i="6"/>
  <c r="B12" i="6"/>
  <c r="B11" i="6"/>
  <c r="B10" i="6"/>
  <c r="B9" i="6"/>
  <c r="B8" i="6"/>
  <c r="B7" i="6"/>
  <c r="B6" i="6"/>
  <c r="B5" i="6"/>
  <c r="B4" i="6"/>
  <c r="R5" i="6" s="1"/>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R9" i="4" s="1"/>
  <c r="B26" i="3"/>
  <c r="B25" i="3"/>
  <c r="B24" i="3"/>
  <c r="B23" i="3"/>
  <c r="B22" i="3"/>
  <c r="B21" i="3"/>
  <c r="B20" i="3"/>
  <c r="B19" i="3"/>
  <c r="B18" i="3"/>
  <c r="B17" i="3"/>
  <c r="B16" i="3"/>
  <c r="B15" i="3"/>
  <c r="B14" i="3"/>
  <c r="B13" i="3"/>
  <c r="B12" i="3"/>
  <c r="B11" i="3"/>
  <c r="B10" i="3"/>
  <c r="B9" i="3"/>
  <c r="B8" i="3"/>
  <c r="B7" i="3"/>
  <c r="B6" i="3"/>
  <c r="B5" i="3"/>
  <c r="B4" i="3"/>
  <c r="Q9" i="3" s="1"/>
  <c r="R7" i="5" l="1"/>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F14" i="1" s="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7" i="1" l="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<sst xmlns="http://schemas.openxmlformats.org/spreadsheetml/2006/main" count="792" uniqueCount="206">
  <si>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</si>
  <si>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</si>
  <si>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</si>
  <si>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</si>
  <si>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</si>
  <si>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</si>
  <si>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</si>
  <si>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</si>
  <si>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</si>
  <si>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</si>
  <si>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</si>
  <si>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</si>
  <si>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</si>
  <si>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</si>
  <si>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</si>
  <si>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</si>
  <si>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</si>
  <si>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</si>
  <si>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</si>
  <si>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</si>
  <si>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</si>
  <si>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</si>
  <si>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</si>
  <si>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</si>
  <si>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</si>
  <si>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</si>
  <si>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</si>
  <si>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</si>
  <si>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</si>
  <si>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</si>
  <si>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</si>
  <si>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</si>
  <si>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</si>
  <si>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</si>
  <si>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</si>
  <si>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</si>
  <si>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</si>
  <si>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</si>
  <si>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</si>
  <si>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</si>
  <si>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</si>
  <si>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</si>
  <si>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</si>
  <si>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</si>
  <si>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</si>
  <si>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</si>
  <si>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</si>
  <si>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</si>
  <si>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</si>
  <si>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</si>
  <si>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</si>
  <si>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</si>
  <si>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</si>
  <si>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</si>
  <si>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</si>
  <si>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</si>
  <si>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</si>
  <si>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</si>
  <si>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</si>
  <si>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</si>
  <si>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</si>
  <si>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</si>
  <si>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</si>
  <si>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</si>
  <si>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</si>
  <si>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</si>
  <si>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</si>
  <si>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</si>
  <si>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</si>
  <si>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5-15 minute cooldown.</t>
  </si>
  <si>
    <t>Choose 5 dynamic drills and complete. Make sure to finish with leg swings.</t>
  </si>
  <si>
    <t>2x 100M strides.</t>
  </si>
  <si>
    <t>4x 30M flys, with 20M run in/out. Sprint form, 100% relaxed effort.</t>
  </si>
  <si>
    <t>Change into spike for 30M flys.</t>
  </si>
  <si>
    <t>Change into flats/workout shoes in preparation for the intervals.</t>
  </si>
  <si>
    <t>5 minute easy jog after threshold intervals.</t>
  </si>
  <si>
    <t>Areobic Running</t>
  </si>
  <si>
    <t>(in minutes)</t>
  </si>
  <si>
    <t>(in miles)</t>
  </si>
  <si>
    <t>Totals:</t>
  </si>
  <si>
    <t>Standard hurdle drills.</t>
  </si>
  <si>
    <t>Tuesday</t>
  </si>
  <si>
    <t>Choose 5 dynamic drills and complete.</t>
  </si>
  <si>
    <t>Standard easy run.</t>
  </si>
  <si>
    <t>4x 100M strides, fast and relaxed.</t>
  </si>
  <si>
    <t>Wednesday</t>
  </si>
  <si>
    <t xml:space="preserve">Choose 5 dynamic drills and complete. </t>
  </si>
  <si>
    <t>Recovery run. Go as slow as your body feels like going, but maintain good form!</t>
  </si>
  <si>
    <t>Thursday</t>
  </si>
  <si>
    <t>20-45 minute standard easy run.</t>
  </si>
  <si>
    <t>4-6x 100M strides.</t>
  </si>
  <si>
    <t>Friday</t>
  </si>
  <si>
    <t>Long Run</t>
  </si>
  <si>
    <t>30-90 minute long run. Standard long run pace, which should be a little faster than easy run pace. Running over rolling hills is ideal. Make sure you fuel well before, during, and after!</t>
  </si>
  <si>
    <t>Do some gentle stretching after completing your 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</si>
  <si>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</si>
  <si>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</si>
  <si>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</si>
  <si>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</si>
  <si>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</si>
  <si>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</si>
  <si>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</si>
  <si>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</si>
  <si>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</si>
  <si>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</si>
  <si>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</si>
  <si>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</si>
  <si>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</si>
  <si>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</si>
  <si>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</si>
  <si>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</si>
  <si>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</si>
  <si>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</si>
  <si>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</si>
  <si>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</si>
  <si>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</si>
  <si>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</si>
  <si>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</si>
  <si>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</si>
  <si>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</si>
  <si>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</si>
  <si>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</si>
  <si>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</si>
  <si>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</si>
  <si>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</si>
  <si>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</si>
  <si>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</si>
  <si>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</si>
  <si>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</si>
  <si>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</si>
  <si>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</si>
  <si>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</si>
  <si>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</si>
  <si>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</si>
  <si>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</si>
  <si>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</si>
  <si>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</si>
  <si>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</si>
  <si>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</si>
  <si>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</si>
  <si>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</si>
  <si>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</si>
  <si>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</si>
  <si>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</si>
  <si>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</si>
  <si>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</si>
  <si>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</si>
  <si>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</si>
  <si>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</si>
  <si>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</si>
  <si>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</si>
  <si>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</si>
  <si>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</si>
  <si>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</si>
  <si>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</si>
  <si>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</si>
  <si>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</si>
  <si>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</si>
  <si>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</si>
  <si>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</si>
  <si>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</si>
  <si>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</si>
  <si>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</si>
  <si>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</si>
  <si>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</si>
  <si>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</si>
  <si>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</si>
  <si>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</si>
  <si>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</si>
  <si>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</si>
  <si>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</si>
  <si>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</si>
  <si>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</si>
  <si>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</si>
  <si>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</si>
  <si>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</si>
  <si>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</si>
  <si>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</si>
  <si>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</si>
  <si>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</si>
  <si>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</si>
  <si>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</si>
  <si>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</si>
  <si>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</si>
  <si>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</si>
  <si>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</si>
  <si>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</si>
  <si>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</si>
  <si>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4x 150M @ 1600M effort.  Concentrate on these feeling smooth.  Easy jog the remaining 250M back to the start.</t>
  </si>
  <si>
    <t>2-6x 150M at 3K pace. 250M slow jog recovery.</t>
  </si>
  <si>
    <t>6x 100M strides. Start at ~10K effort, and get faster each rep. Stay relaxed! You should finish feeling fast and a little more energized.</t>
  </si>
  <si>
    <t>Standard hurdle mobility drills.</t>
  </si>
  <si>
    <t>12-20x 400M minutes at threshold effort. 30 second standing rest in between intervals.</t>
  </si>
  <si>
    <t>Location</t>
  </si>
  <si>
    <t>3-5 minutes standing rest. Change into shoes for SubT.</t>
  </si>
  <si>
    <t>5 minutes standing rest.</t>
  </si>
  <si>
    <t>8-15 minutes SubT</t>
  </si>
  <si>
    <t>Change back into spikes for race pace work.</t>
  </si>
  <si>
    <t>Push-Ups</t>
  </si>
  <si>
    <t>Pull-Ups</t>
  </si>
  <si>
    <t>Until failure</t>
  </si>
  <si>
    <t>Dips</t>
  </si>
  <si>
    <t>Pike Push-Ups</t>
  </si>
  <si>
    <t>1-2x (5x 200M @ ~3200M --&gt; 1600M goal effort), 2:30 recovery.</t>
  </si>
  <si>
    <t>800-1200M easy jog warm-up.</t>
  </si>
  <si>
    <t>We've got a couple runners who will be at Simplot in 10-12 days or so.  Otherwise, we're back to uninterrupted training (unless people get sick).  Let's take advantage of this, especially to get some strength work going. Watch the video message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</si>
</sst>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cellXfs>
  <cellStyles count="3">
    <cellStyle name="Hyperlink" xfId="2" builtinId="8"/>
    <cellStyle name="Normal" xfId="0" builtinId="0"/>
    <cellStyle name="Percent" xfId="1" builtinId="5"/>
  </cellStyles>
  <dxfs count="1118">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0" totalsRowShown="0" headerRowDxfId="1117" headerRowBorderDxfId="1116" tableBorderDxfId="1115" totalsRowBorderDxfId="1114">
  <autoFilter ref="A1:C30" xr:uid="{FF795C1F-72BF-8048-AF19-4BC109754AA4}"/>
  <tableColumns count="3">
    <tableColumn id="1" xr3:uid="{797539E5-C30E-C347-9E62-77070737E32D}" name="Category of Training Stimulus" dataDxfId="1113"/>
    <tableColumn id="2" xr3:uid="{CF079A49-3B75-8945-8D85-33DE537F2E7B}" name="Training Component" dataDxfId="1112"/>
    <tableColumn id="3" xr3:uid="{14E078D6-C756-AB4E-A5B8-549BDA9140C1}" name="Description" dataDxfId="111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0" totalsRowShown="0" headerRowDxfId="1110" dataDxfId="1109">
  <autoFilter ref="A1:E40" xr:uid="{A95B5FF0-C24C-AB40-8E37-E36D1F969343}"/>
  <tableColumns count="5">
    <tableColumn id="1" xr3:uid="{E9AB92C4-8B67-3D4B-A8C6-B78C1D4BEEE7}" name="Exercise" dataDxfId="1108"/>
    <tableColumn id="2" xr3:uid="{1A4AEDDF-E23C-3946-AE38-5C5CF7F9C0CE}" name="Routine" dataDxfId="1107"/>
    <tableColumn id="3" xr3:uid="{DF3B3656-9776-1E47-9C7A-2D19CBE10A25}" name="Sets" dataDxfId="1106"/>
    <tableColumn id="4" xr3:uid="{215C473A-1C36-7140-8726-D4CA58A8BDDE}" name="Reps" dataDxfId="1105"/>
    <tableColumn id="5" xr3:uid="{CE501D42-6216-6142-8A4D-7407FA435D0A}" name="Description" dataDxfId="110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tabSelected="1" zoomScale="140" zoomScaleNormal="140" workbookViewId="0">
      <selection activeCell="H20" sqref="H20"/>
    </sheetView>
  </sheetViews>
  <sheetFormatPr baseColWidth="10" defaultRowHeight="17"/>
  <cols>
    <col min="1" max="1" width="25.1640625" style="2" customWidth="1"/>
    <col min="2" max="3" width="18.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99</v>
      </c>
      <c r="B1" s="52" t="s">
        <v>172</v>
      </c>
      <c r="C1" s="52" t="s">
        <v>101</v>
      </c>
      <c r="D1" s="15"/>
      <c r="E1" s="76"/>
      <c r="H1" s="79" t="s">
        <v>106</v>
      </c>
      <c r="I1" s="79"/>
      <c r="J1" s="79"/>
      <c r="K1" s="79"/>
    </row>
    <row r="2" spans="1:16" ht="22" customHeight="1">
      <c r="A2" s="6" t="s">
        <v>97</v>
      </c>
      <c r="B2" s="49" t="str">
        <f>O2&amp;" hours "&amp;(O3-O2)*(60)&amp; " minutes"</f>
        <v>2 hours 32 minutes</v>
      </c>
      <c r="C2" s="49" t="str">
        <f>P2&amp;" hours "&amp;ROUND((P3-P2)*(60),2)&amp; " minutes"</f>
        <v>6 hours 9 minutes</v>
      </c>
      <c r="H2" s="51" t="s">
        <v>107</v>
      </c>
      <c r="I2" s="51" t="s">
        <v>108</v>
      </c>
      <c r="J2" s="51" t="s">
        <v>103</v>
      </c>
      <c r="K2" s="51" t="s">
        <v>102</v>
      </c>
      <c r="O2" s="50">
        <f>INT((Monday!$M$10+Tuesday!$M$10+Wednesday!$M$10+Thursday!$M$10+Friday!$M$10+Saturday!$M$10)/(60))</f>
        <v>2</v>
      </c>
      <c r="P2" s="50">
        <f>INT((Monday!$N$10+Tuesday!$N$10+Wednesday!$N$10+Thursday!$N$10+Friday!$N$10+Saturday!$N$10)/(60))</f>
        <v>6</v>
      </c>
    </row>
    <row r="3" spans="1:16" ht="22" customHeight="1">
      <c r="A3" s="6" t="s">
        <v>98</v>
      </c>
      <c r="B3" s="23" t="str">
        <f>(Monday!Q10+Tuesday!Q10+Wednesday!Q10+Thursday!Q10+Friday!Q10+Saturday!Q10)&amp;" miles"</f>
        <v>18 miles</v>
      </c>
      <c r="C3" s="23" t="str">
        <f>(Monday!$R$10+Tuesday!$R$10+Wednesday!$R$10+Thursday!$R$10+Friday!$R$10+Saturday!$R$10)&amp;" miles"</f>
        <v>53.85 miles</v>
      </c>
      <c r="H3" s="6" t="s">
        <v>59</v>
      </c>
      <c r="I3" s="6" t="str">
        <f>Monday!C1</f>
        <v>Easy Run</v>
      </c>
      <c r="J3" s="6" t="s">
        <v>7</v>
      </c>
      <c r="O3" s="2">
        <f>(Monday!$M$10+Tuesday!$M$10+Wednesday!$M$10+Thursday!$M$10+Friday!$M$10+Saturday!$M$10)/(60)</f>
        <v>2.5333333333333332</v>
      </c>
      <c r="P3" s="2">
        <f>(Monday!$N$10+Tuesday!$N$10+Wednesday!$N$10+Thursday!$N$10+Friday!$N$10+Saturday!$N$10)/(60)</f>
        <v>6.15</v>
      </c>
    </row>
    <row r="4" spans="1:16" ht="22" customHeight="1">
      <c r="H4" s="6" t="s">
        <v>81</v>
      </c>
      <c r="I4" s="6" t="str">
        <f>Tuesday!C1</f>
        <v>Workout</v>
      </c>
      <c r="J4" s="6"/>
      <c r="K4" s="6" t="s">
        <v>4</v>
      </c>
    </row>
    <row r="5" spans="1:16" ht="22" customHeight="1">
      <c r="A5" s="51" t="s">
        <v>104</v>
      </c>
      <c r="B5" s="52" t="s">
        <v>100</v>
      </c>
      <c r="C5" s="52" t="s">
        <v>101</v>
      </c>
      <c r="D5" s="53" t="s">
        <v>169</v>
      </c>
      <c r="E5" s="52" t="s">
        <v>170</v>
      </c>
      <c r="F5" s="53" t="s">
        <v>171</v>
      </c>
      <c r="H5" s="6" t="s">
        <v>85</v>
      </c>
      <c r="I5" s="6" t="str">
        <f>Wednesday!C1</f>
        <v>Recovery Run</v>
      </c>
      <c r="J5" s="6" t="s">
        <v>8</v>
      </c>
      <c r="K5" s="6"/>
    </row>
    <row r="6" spans="1:16" ht="22" customHeight="1">
      <c r="A6" s="54" t="s">
        <v>17</v>
      </c>
      <c r="B6" s="55">
        <f>TIME(,(Monday!M4+Tuesday!M4+Wednesday!M4+Thursday!M4+Friday!M4+Saturday!M4),)</f>
        <v>7.4999999999999997E-2</v>
      </c>
      <c r="C6" s="55">
        <f>TIME(,(Monday!N4+Tuesday!N4+Wednesday!N4+Thursday!N4+Friday!N4+Saturday!N4),)</f>
        <v>0.2048611111111111</v>
      </c>
      <c r="D6" s="56">
        <f t="shared" ref="D6:D11" si="0">(B6/SUM($B$6:$B$11))</f>
        <v>0.71052631578947378</v>
      </c>
      <c r="E6" s="56">
        <f>(C6/SUM($C$6:$C$11))</f>
        <v>0.79945799457994582</v>
      </c>
      <c r="F6" s="56">
        <f>(D6+E6)/2</f>
        <v>0.75499215518470986</v>
      </c>
      <c r="H6" s="6" t="s">
        <v>88</v>
      </c>
      <c r="I6" s="6" t="str">
        <f>Thursday!C1</f>
        <v>Workout</v>
      </c>
      <c r="J6" s="6"/>
      <c r="K6" s="6" t="s">
        <v>5</v>
      </c>
    </row>
    <row r="7" spans="1:16" ht="22" customHeight="1">
      <c r="A7" s="29" t="s">
        <v>34</v>
      </c>
      <c r="B7" s="57">
        <f>TIME(,(Monday!M5+Tuesday!M5+Wednesday!M5+Thursday!M5+Friday!M5+Saturday!M5),)</f>
        <v>5.5555555555555558E-3</v>
      </c>
      <c r="C7" s="57">
        <f>TIME(,(Monday!N5+Tuesday!N5+Wednesday!N5+Thursday!N5+Friday!N5+Saturday!N5),)</f>
        <v>6.9444444444444441E-3</v>
      </c>
      <c r="D7" s="58">
        <f t="shared" si="0"/>
        <v>5.2631578947368432E-2</v>
      </c>
      <c r="E7" s="58">
        <f t="shared" ref="E7:E11" si="1">(C7/SUM($C$6:$C$11))</f>
        <v>2.7100271002710029E-2</v>
      </c>
      <c r="F7" s="58">
        <f t="shared" ref="F7:F11" si="2">(D7+E7)/2</f>
        <v>3.9865924975039227E-2</v>
      </c>
      <c r="H7" s="6" t="s">
        <v>91</v>
      </c>
      <c r="I7" s="6" t="str">
        <f>Friday!C1</f>
        <v>Recovery Run</v>
      </c>
      <c r="J7" s="6"/>
      <c r="K7" s="2" t="s">
        <v>6</v>
      </c>
    </row>
    <row r="8" spans="1:16" ht="22" customHeight="1">
      <c r="A8" s="59" t="s">
        <v>22</v>
      </c>
      <c r="B8" s="60">
        <f>TIME(,(Monday!M6+Tuesday!M6+Wednesday!M6+Thursday!M6+Friday!M6+Saturday!M6),)</f>
        <v>1.5972222222222221E-2</v>
      </c>
      <c r="C8" s="60">
        <f>TIME(,(Monday!N6+Tuesday!N6+Wednesday!N6+Thursday!N6+Friday!N6+Saturday!N6),)</f>
        <v>3.4722222222222224E-2</v>
      </c>
      <c r="D8" s="61">
        <f t="shared" si="0"/>
        <v>0.15131578947368421</v>
      </c>
      <c r="E8" s="61">
        <f t="shared" si="1"/>
        <v>0.13550135501355015</v>
      </c>
      <c r="F8" s="61">
        <f t="shared" si="2"/>
        <v>0.14340857224361719</v>
      </c>
      <c r="H8" s="6" t="s">
        <v>96</v>
      </c>
      <c r="I8" s="6" t="str">
        <f>Saturday!C1</f>
        <v>Long Run</v>
      </c>
      <c r="J8" s="6" t="s">
        <v>137</v>
      </c>
      <c r="K8" s="6"/>
    </row>
    <row r="9" spans="1:16" ht="22" customHeight="1">
      <c r="A9" s="62" t="s">
        <v>1</v>
      </c>
      <c r="B9" s="63">
        <f>TIME(,(Monday!M7+Tuesday!M7+Wednesday!M7+Thursday!M7+Friday!M7+Saturday!M7),)</f>
        <v>1.3888888888888889E-3</v>
      </c>
      <c r="C9" s="63">
        <f>TIME(,(Monday!N7+Tuesday!N7+Wednesday!N7+Thursday!N7+Friday!N7+Saturday!N7),)</f>
        <v>3.472222222222222E-3</v>
      </c>
      <c r="D9" s="64">
        <f t="shared" si="0"/>
        <v>1.3157894736842108E-2</v>
      </c>
      <c r="E9" s="64">
        <f t="shared" si="1"/>
        <v>1.3550135501355014E-2</v>
      </c>
      <c r="F9" s="64">
        <f t="shared" si="2"/>
        <v>1.3354015119098561E-2</v>
      </c>
      <c r="H9" s="6" t="s">
        <v>109</v>
      </c>
      <c r="I9" s="6" t="s">
        <v>115</v>
      </c>
      <c r="J9" s="6"/>
      <c r="K9" s="6"/>
    </row>
    <row r="10" spans="1:16" ht="22" customHeight="1">
      <c r="A10" s="66" t="s">
        <v>2</v>
      </c>
      <c r="B10" s="67">
        <f>TIME(,(Monday!M8+Tuesday!M8+Wednesday!M8+Thursday!M8+Friday!M8+Saturday!M8),)</f>
        <v>6.9444444444444441E-3</v>
      </c>
      <c r="C10" s="67">
        <f>TIME(,(Monday!N8+Tuesday!N8+Wednesday!N8+Thursday!N8+Friday!N8+Saturday!N8),)</f>
        <v>5.5555555555555558E-3</v>
      </c>
      <c r="D10" s="68">
        <f t="shared" si="0"/>
        <v>6.5789473684210537E-2</v>
      </c>
      <c r="E10" s="68">
        <f t="shared" si="1"/>
        <v>2.1680216802168025E-2</v>
      </c>
      <c r="F10" s="68">
        <f t="shared" si="2"/>
        <v>4.3734845243189283E-2</v>
      </c>
    </row>
    <row r="11" spans="1:16" ht="22" customHeight="1">
      <c r="A11" s="69" t="s">
        <v>3</v>
      </c>
      <c r="B11" s="71">
        <f>TIME(,(Monday!M9+Tuesday!M9+Wednesday!M9+Thursday!M9+Friday!M9+Saturday!M9),)</f>
        <v>6.9444444444444447E-4</v>
      </c>
      <c r="C11" s="71">
        <f>TIME(,(Monday!N9+Tuesday!N9+Wednesday!N9+Thursday!N9+Friday!N9+Saturday!N9),)</f>
        <v>6.9444444444444447E-4</v>
      </c>
      <c r="D11" s="70">
        <f t="shared" si="0"/>
        <v>6.578947368421054E-3</v>
      </c>
      <c r="E11" s="70">
        <f t="shared" si="1"/>
        <v>2.7100271002710031E-3</v>
      </c>
      <c r="F11" s="70">
        <f t="shared" si="2"/>
        <v>4.6444872343460288E-3</v>
      </c>
      <c r="H11" s="81" t="s">
        <v>173</v>
      </c>
      <c r="I11" s="81"/>
      <c r="J11" s="81"/>
      <c r="K11" s="81"/>
    </row>
    <row r="12" spans="1:16" ht="22" customHeight="1">
      <c r="H12" s="80" t="s">
        <v>205</v>
      </c>
      <c r="I12" s="80"/>
      <c r="J12" s="80"/>
      <c r="K12" s="80"/>
    </row>
    <row r="13" spans="1:16" ht="22" customHeight="1">
      <c r="A13" s="51" t="s">
        <v>105</v>
      </c>
      <c r="B13" s="52" t="s">
        <v>100</v>
      </c>
      <c r="C13" s="52" t="s">
        <v>101</v>
      </c>
      <c r="D13" s="53" t="s">
        <v>169</v>
      </c>
      <c r="E13" s="52" t="s">
        <v>170</v>
      </c>
      <c r="F13" s="53" t="s">
        <v>171</v>
      </c>
      <c r="H13" s="80"/>
      <c r="I13" s="80"/>
      <c r="J13" s="80"/>
      <c r="K13" s="80"/>
    </row>
    <row r="14" spans="1:16" ht="22" customHeight="1">
      <c r="A14" s="54" t="s">
        <v>17</v>
      </c>
      <c r="B14" s="28">
        <f>Monday!Q4+Tuesday!Q4+Wednesday!Q4+Thursday!Q4+Friday!Q4+Saturday!Q4</f>
        <v>10.75</v>
      </c>
      <c r="C14" s="28">
        <f>Monday!R4+Tuesday!R4+Wednesday!R4+Thursday!R4+Friday!R4+Saturday!R4</f>
        <v>41.5</v>
      </c>
      <c r="D14" s="56">
        <f>B14/(SUM($B$14:$B$19))</f>
        <v>0.59722222222222221</v>
      </c>
      <c r="E14" s="56">
        <f>C14/(SUM($C$14:$C$19))</f>
        <v>0.77065923862581243</v>
      </c>
      <c r="F14" s="56">
        <f t="shared" ref="F14:F19" si="3">(D14+E14)/2</f>
        <v>0.68394073042401726</v>
      </c>
      <c r="H14" s="80"/>
      <c r="I14" s="80"/>
      <c r="J14" s="80"/>
      <c r="K14" s="80"/>
    </row>
    <row r="15" spans="1:16" ht="22" customHeight="1">
      <c r="A15" s="29" t="s">
        <v>34</v>
      </c>
      <c r="B15" s="30">
        <f>Monday!Q5+Tuesday!Q5+Wednesday!Q5+Thursday!Q5+Friday!Q5+Saturday!Q5</f>
        <v>2.2000000000000002</v>
      </c>
      <c r="C15" s="30">
        <f>Monday!R5+Tuesday!R5+Wednesday!R5+Thursday!R5+Friday!R5+Saturday!R5</f>
        <v>2.4000000000000004</v>
      </c>
      <c r="D15" s="58">
        <f t="shared" ref="D15:D19" si="4">B15/(SUM($B$14:$B$19))</f>
        <v>0.12222222222222223</v>
      </c>
      <c r="E15" s="58">
        <f t="shared" ref="E15:E19" si="5">C15/(SUM($C$14:$C$19))</f>
        <v>4.4568245125348196E-2</v>
      </c>
      <c r="F15" s="58">
        <f t="shared" si="3"/>
        <v>8.3395233673785207E-2</v>
      </c>
      <c r="H15" s="80"/>
      <c r="I15" s="80"/>
      <c r="J15" s="80"/>
      <c r="K15" s="80"/>
    </row>
    <row r="16" spans="1:16" ht="22" customHeight="1">
      <c r="A16" s="59" t="s">
        <v>22</v>
      </c>
      <c r="B16" s="32">
        <f>Monday!Q6+Tuesday!Q6+Wednesday!Q6+Thursday!Q6+Friday!Q6+Saturday!Q6</f>
        <v>3.75</v>
      </c>
      <c r="C16" s="32">
        <f>Monday!R6+Tuesday!R6+Wednesday!R6+Thursday!R6+Friday!R6+Saturday!R6</f>
        <v>7</v>
      </c>
      <c r="D16" s="61">
        <f t="shared" si="4"/>
        <v>0.20833333333333334</v>
      </c>
      <c r="E16" s="61">
        <f t="shared" si="5"/>
        <v>0.12999071494893222</v>
      </c>
      <c r="F16" s="61">
        <f t="shared" si="3"/>
        <v>0.16916202414113279</v>
      </c>
      <c r="H16" s="80"/>
      <c r="I16" s="80"/>
      <c r="J16" s="80"/>
      <c r="K16" s="80"/>
    </row>
    <row r="17" spans="1:11" ht="22" customHeight="1">
      <c r="A17" s="62" t="s">
        <v>1</v>
      </c>
      <c r="B17" s="65">
        <f>Monday!Q7+Tuesday!Q7+Wednesday!Q7+Thursday!Q7+Friday!Q7+Saturday!Q7</f>
        <v>0.5</v>
      </c>
      <c r="C17" s="65">
        <f>Monday!R7+Tuesday!R7+Wednesday!R7+Thursday!R7+Friday!R7+Saturday!R7</f>
        <v>1.5</v>
      </c>
      <c r="D17" s="64">
        <f t="shared" si="4"/>
        <v>2.7777777777777776E-2</v>
      </c>
      <c r="E17" s="64">
        <f t="shared" si="5"/>
        <v>2.7855153203342618E-2</v>
      </c>
      <c r="F17" s="64">
        <f t="shared" si="3"/>
        <v>2.7816465490560195E-2</v>
      </c>
      <c r="H17" s="80"/>
      <c r="I17" s="80"/>
      <c r="J17" s="80"/>
      <c r="K17" s="80"/>
    </row>
    <row r="18" spans="1:11" ht="22" customHeight="1">
      <c r="A18" s="66" t="s">
        <v>2</v>
      </c>
      <c r="B18" s="34">
        <f>Monday!Q8+Tuesday!Q8+Wednesday!Q8+Thursday!Q8+Friday!Q8+Saturday!Q8</f>
        <v>0.6</v>
      </c>
      <c r="C18" s="34">
        <f>Monday!R8+Tuesday!R8+Wednesday!R8+Thursday!R8+Friday!R8+Saturday!R8</f>
        <v>1.25</v>
      </c>
      <c r="D18" s="68">
        <f t="shared" si="4"/>
        <v>3.3333333333333333E-2</v>
      </c>
      <c r="E18" s="68">
        <f t="shared" si="5"/>
        <v>2.3212627669452181E-2</v>
      </c>
      <c r="F18" s="68">
        <f t="shared" si="3"/>
        <v>2.8272980501392757E-2</v>
      </c>
      <c r="H18" s="80"/>
      <c r="I18" s="80"/>
      <c r="J18" s="80"/>
      <c r="K18" s="80"/>
    </row>
    <row r="19" spans="1:11" ht="22" customHeight="1">
      <c r="A19" s="69" t="s">
        <v>3</v>
      </c>
      <c r="B19" s="38">
        <f>Monday!Q9+Tuesday!Q9+Wednesday!Q9+Thursday!Q9+Friday!Q9+Saturday!Q9</f>
        <v>0.2</v>
      </c>
      <c r="C19" s="38">
        <f>Monday!R9+Tuesday!R9+Wednesday!R9+Thursday!R9+Friday!R9+Saturday!R9</f>
        <v>0.2</v>
      </c>
      <c r="D19" s="70">
        <f t="shared" si="4"/>
        <v>1.1111111111111112E-2</v>
      </c>
      <c r="E19" s="70">
        <f t="shared" si="5"/>
        <v>3.7140204271123491E-3</v>
      </c>
      <c r="F19" s="70">
        <f t="shared" si="3"/>
        <v>7.4125657691117303E-3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zoomScale="140" zoomScaleNormal="140" workbookViewId="0">
      <selection activeCell="C4" sqref="C4"/>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45684</v>
      </c>
      <c r="C1" s="20" t="s">
        <v>110</v>
      </c>
      <c r="D1" s="20" t="s">
        <v>61</v>
      </c>
      <c r="E1" s="20" t="s">
        <v>60</v>
      </c>
      <c r="F1" s="20"/>
      <c r="G1" s="90" t="s">
        <v>53</v>
      </c>
      <c r="H1" s="91"/>
      <c r="I1" s="91"/>
      <c r="J1" s="91"/>
      <c r="L1" s="25" t="s">
        <v>39</v>
      </c>
      <c r="M1" s="86" t="s">
        <v>11</v>
      </c>
      <c r="N1" s="86"/>
      <c r="O1" s="86"/>
      <c r="P1" s="86"/>
      <c r="Q1" s="86" t="s">
        <v>12</v>
      </c>
      <c r="R1" s="86"/>
      <c r="S1" s="86"/>
      <c r="T1" s="86"/>
    </row>
    <row r="2" spans="1:20" s="2" customFormat="1" ht="25" customHeight="1">
      <c r="A2" s="82" t="s">
        <v>16</v>
      </c>
      <c r="B2" s="82" t="s">
        <v>40</v>
      </c>
      <c r="C2" s="82" t="s">
        <v>54</v>
      </c>
      <c r="D2" s="82" t="s">
        <v>62</v>
      </c>
      <c r="E2" s="84" t="s">
        <v>13</v>
      </c>
      <c r="F2" s="84"/>
      <c r="G2" s="86" t="s">
        <v>47</v>
      </c>
      <c r="H2" s="86"/>
      <c r="I2" s="86" t="s">
        <v>46</v>
      </c>
      <c r="J2" s="86"/>
      <c r="K2" s="83"/>
      <c r="L2" s="26"/>
      <c r="M2" s="89" t="s">
        <v>77</v>
      </c>
      <c r="N2" s="89"/>
      <c r="O2" s="89"/>
      <c r="P2" s="89"/>
      <c r="Q2" s="88" t="s">
        <v>78</v>
      </c>
      <c r="R2" s="88"/>
      <c r="S2" s="88"/>
      <c r="T2" s="88"/>
    </row>
    <row r="3" spans="1:20" s="2" customFormat="1" ht="25" customHeight="1">
      <c r="A3" s="82"/>
      <c r="B3" s="82"/>
      <c r="C3" s="82"/>
      <c r="D3" s="82"/>
      <c r="E3" s="84"/>
      <c r="F3" s="84"/>
      <c r="G3" s="22" t="s">
        <v>44</v>
      </c>
      <c r="H3" s="22" t="s">
        <v>45</v>
      </c>
      <c r="I3" s="22" t="s">
        <v>44</v>
      </c>
      <c r="J3" s="22" t="s">
        <v>45</v>
      </c>
      <c r="K3" s="83"/>
      <c r="L3" s="26"/>
      <c r="M3" s="23"/>
      <c r="N3" s="23"/>
      <c r="O3" s="23"/>
      <c r="P3" s="23"/>
      <c r="Q3" s="23"/>
      <c r="R3" s="6"/>
      <c r="S3" s="23"/>
      <c r="T3" s="23"/>
    </row>
    <row r="4" spans="1:20" s="2" customFormat="1" ht="50" customHeight="1">
      <c r="A4" s="6" t="s">
        <v>19</v>
      </c>
      <c r="B4" s="6" t="str">
        <f>_xlfn.XLOOKUP(A4,TrainingTable[Training Component],TrainingTable[Category of Training Stimulus],"")</f>
        <v>Stretching and Mobility</v>
      </c>
      <c r="C4" s="6" t="s">
        <v>55</v>
      </c>
      <c r="D4" s="6" t="s">
        <v>67</v>
      </c>
      <c r="E4" s="85" t="s">
        <v>82</v>
      </c>
      <c r="F4" s="85"/>
      <c r="G4" s="23">
        <v>5</v>
      </c>
      <c r="H4" s="23">
        <v>5</v>
      </c>
      <c r="I4" s="23">
        <v>0</v>
      </c>
      <c r="J4" s="23">
        <v>0</v>
      </c>
      <c r="L4" s="27" t="s">
        <v>76</v>
      </c>
      <c r="M4" s="28">
        <f>SUMIF(Monday_Training_Category,"Aerobic Running",Monday_Training_Time_Lower)</f>
        <v>20</v>
      </c>
      <c r="N4" s="28">
        <f>SUMIF(Monday_Training_Category,"Aerobic Running",Monday_Training_Time_Upper)</f>
        <v>60</v>
      </c>
      <c r="O4" s="39">
        <f t="shared" ref="O4:O9" si="0">M4/$M$10</f>
        <v>0.95238095238095233</v>
      </c>
      <c r="P4" s="39">
        <f t="shared" ref="P4:P10" si="1">N4/$N$10</f>
        <v>0.98360655737704916</v>
      </c>
      <c r="Q4" s="28">
        <f>SUMIF(Monday_Training_Category,"Aerobic Running",Monday_Training_Distance_Lower)</f>
        <v>2</v>
      </c>
      <c r="R4" s="28">
        <f>SUMIF(Monday_Training_Category,"Aerobic Running",Monday_Training_Distance_Upper)</f>
        <v>8</v>
      </c>
      <c r="S4" s="39">
        <f>Q4/$Q$10</f>
        <v>0.83333333333333337</v>
      </c>
      <c r="T4" s="39">
        <f>R4/$R$10</f>
        <v>0.95238095238095233</v>
      </c>
    </row>
    <row r="5" spans="1:20" s="2" customFormat="1" ht="50" customHeight="1">
      <c r="A5" s="6" t="s">
        <v>0</v>
      </c>
      <c r="B5" s="6" t="str">
        <f>_xlfn.XLOOKUP(A5,TrainingTable[Training Component],TrainingTable[Category of Training Stimulus],"")</f>
        <v>Aerobic Running</v>
      </c>
      <c r="C5" s="6" t="s">
        <v>55</v>
      </c>
      <c r="D5" s="6" t="s">
        <v>67</v>
      </c>
      <c r="E5" s="85" t="s">
        <v>83</v>
      </c>
      <c r="F5" s="85"/>
      <c r="G5" s="23">
        <v>20</v>
      </c>
      <c r="H5" s="23">
        <v>60</v>
      </c>
      <c r="I5" s="23">
        <v>2</v>
      </c>
      <c r="J5" s="23">
        <v>8</v>
      </c>
      <c r="L5" s="29" t="s">
        <v>34</v>
      </c>
      <c r="M5" s="30">
        <f>SUMIF(Monday_Training_Category,"Turnover and Pace Work",Monday_Training_Time_Lower)</f>
        <v>1</v>
      </c>
      <c r="N5" s="30">
        <f>SUMIF(Monday_Training_Category,"Turnover and Pace Work",Monday_Training_Time_Upper)</f>
        <v>1</v>
      </c>
      <c r="O5" s="40">
        <f t="shared" si="0"/>
        <v>4.7619047619047616E-2</v>
      </c>
      <c r="P5" s="40">
        <f t="shared" si="1"/>
        <v>1.6393442622950821E-2</v>
      </c>
      <c r="Q5" s="30">
        <f>SUMIF(Monday_Training_Category,"Turnover and Pace Work",Monday_Training_Distance_Lower)</f>
        <v>0.4</v>
      </c>
      <c r="R5" s="30">
        <f>SUMIF(Monday_Training_Category,"Turnover and Pace Work",Monday_Training_Distance_Upper)</f>
        <v>0.4</v>
      </c>
      <c r="S5" s="40">
        <f t="shared" ref="S5:S10" si="2">Q5/$Q$10</f>
        <v>0.16666666666666669</v>
      </c>
      <c r="T5" s="40">
        <f t="shared" ref="T5:T10" si="3">R5/$R$10</f>
        <v>4.7619047619047616E-2</v>
      </c>
    </row>
    <row r="6" spans="1:20" s="2" customFormat="1" ht="50" customHeight="1">
      <c r="A6" s="6" t="s">
        <v>42</v>
      </c>
      <c r="B6" s="6" t="str">
        <f>_xlfn.XLOOKUP(A6,TrainingTable[Training Component],TrainingTable[Category of Training Stimulus],"")</f>
        <v>Turnover and Pace Work</v>
      </c>
      <c r="C6" s="6" t="s">
        <v>55</v>
      </c>
      <c r="D6" s="6" t="s">
        <v>67</v>
      </c>
      <c r="E6" s="85" t="s">
        <v>84</v>
      </c>
      <c r="F6" s="85"/>
      <c r="G6" s="23">
        <v>1</v>
      </c>
      <c r="H6" s="23">
        <v>1</v>
      </c>
      <c r="I6" s="23">
        <v>0.4</v>
      </c>
      <c r="J6" s="23">
        <v>0.4</v>
      </c>
      <c r="L6" s="31" t="s">
        <v>22</v>
      </c>
      <c r="M6" s="32">
        <f>SUMIF(Monday_Training_Category,"Threshold",Monday_Training_Time_Lower)</f>
        <v>0</v>
      </c>
      <c r="N6" s="32">
        <f>SUMIF(Monday_Training_Category,"Threshold",Monday_Training_Time_Upper)</f>
        <v>0</v>
      </c>
      <c r="O6" s="41">
        <f t="shared" si="0"/>
        <v>0</v>
      </c>
      <c r="P6" s="41">
        <f t="shared" si="1"/>
        <v>0</v>
      </c>
      <c r="Q6" s="32">
        <f>SUMIF(Monday_Training_Category,"Threshold",Monday_Training_Distance_Lower)</f>
        <v>0</v>
      </c>
      <c r="R6" s="32">
        <f>SUMIF(Monday_Training_Category,"Threshold",Monday_Training_Distance_Upper)</f>
        <v>0</v>
      </c>
      <c r="S6" s="41">
        <f t="shared" si="2"/>
        <v>0</v>
      </c>
      <c r="T6" s="41">
        <f t="shared" si="3"/>
        <v>0</v>
      </c>
    </row>
    <row r="7" spans="1:20" s="2" customFormat="1" ht="50" customHeight="1">
      <c r="A7" s="6"/>
      <c r="B7" s="6" t="str">
        <f>_xlfn.XLOOKUP(A7,TrainingTable[Training Component],TrainingTable[Category of Training Stimulus],"")</f>
        <v/>
      </c>
      <c r="C7" s="6" t="s">
        <v>57</v>
      </c>
      <c r="D7" s="6" t="s">
        <v>57</v>
      </c>
      <c r="E7" s="85"/>
      <c r="F7" s="85"/>
      <c r="G7" s="23"/>
      <c r="H7" s="23"/>
      <c r="I7" s="23"/>
      <c r="J7" s="23"/>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c r="B8" s="6" t="str">
        <f>_xlfn.XLOOKUP(A8,TrainingTable[Training Component],TrainingTable[Category of Training Stimulus],"")</f>
        <v/>
      </c>
      <c r="C8" s="6" t="s">
        <v>57</v>
      </c>
      <c r="D8" s="6" t="s">
        <v>57</v>
      </c>
      <c r="E8" s="85"/>
      <c r="F8" s="85"/>
      <c r="G8" s="23"/>
      <c r="H8" s="23"/>
      <c r="I8" s="23"/>
      <c r="J8" s="23"/>
      <c r="L8" s="33" t="s">
        <v>2</v>
      </c>
      <c r="M8" s="34">
        <f>SUMIF(Monday_Training_Category,"Lactate Tolerance",Monday_Training_Time_Lower)</f>
        <v>0</v>
      </c>
      <c r="N8" s="34">
        <f>SUMIF(Monday_Training_Category,"Lactate Tolerance",Monday_Training_Time_Upper)</f>
        <v>0</v>
      </c>
      <c r="O8" s="43">
        <f t="shared" si="0"/>
        <v>0</v>
      </c>
      <c r="P8" s="43">
        <f t="shared" si="1"/>
        <v>0</v>
      </c>
      <c r="Q8" s="34">
        <f>SUMIF(Monday_Training_Category,"Lactate Tolerance",Monday_Training_Distance_Lower)</f>
        <v>0</v>
      </c>
      <c r="R8" s="34">
        <f>SUMIF(Monday_Training_Category,"Lactate Tolerance",Monday_Training_Distance_Upper)</f>
        <v>0</v>
      </c>
      <c r="S8" s="43">
        <f t="shared" si="2"/>
        <v>0</v>
      </c>
      <c r="T8" s="43">
        <f t="shared" si="3"/>
        <v>0</v>
      </c>
    </row>
    <row r="9" spans="1:20" s="2" customFormat="1" ht="50" customHeight="1">
      <c r="A9" s="6"/>
      <c r="B9" s="6" t="str">
        <f>_xlfn.XLOOKUP(A9,TrainingTable[Training Component],TrainingTable[Category of Training Stimulus],"")</f>
        <v/>
      </c>
      <c r="C9" s="6" t="s">
        <v>57</v>
      </c>
      <c r="D9" s="6" t="s">
        <v>57</v>
      </c>
      <c r="E9" s="85"/>
      <c r="F9" s="85"/>
      <c r="G9" s="23"/>
      <c r="H9" s="23"/>
      <c r="I9" s="23"/>
      <c r="J9" s="23"/>
      <c r="L9" s="37" t="s">
        <v>3</v>
      </c>
      <c r="M9" s="38">
        <f>SUMIF(Monday_Training_Category,"Speed Development",Monday_Training_Time_Lower)</f>
        <v>0</v>
      </c>
      <c r="N9" s="38">
        <f>SUMIF(Monday_Training_Category,"Speed Development",Monday_Training_Time_Upper)</f>
        <v>0</v>
      </c>
      <c r="O9" s="44">
        <f t="shared" si="0"/>
        <v>0</v>
      </c>
      <c r="P9" s="44">
        <f t="shared" si="1"/>
        <v>0</v>
      </c>
      <c r="Q9" s="38">
        <f>SUMIF(Monday_Training_Category,"Speed Development",Monday_Training_Distance_Lower)</f>
        <v>0</v>
      </c>
      <c r="R9" s="38">
        <f>SUMIF(Monday_Training_Category,"Speed Development",Monday_Training_Distance_Upper)</f>
        <v>0</v>
      </c>
      <c r="S9" s="44">
        <f t="shared" si="2"/>
        <v>0</v>
      </c>
      <c r="T9" s="44">
        <f t="shared" si="3"/>
        <v>0</v>
      </c>
    </row>
    <row r="10" spans="1:20" s="2" customFormat="1" ht="50" customHeight="1">
      <c r="A10" s="6"/>
      <c r="B10" s="6" t="str">
        <f>_xlfn.XLOOKUP(A10,TrainingTable[Training Component],TrainingTable[Category of Training Stimulus],"")</f>
        <v/>
      </c>
      <c r="C10" s="6" t="s">
        <v>57</v>
      </c>
      <c r="D10" s="6" t="s">
        <v>57</v>
      </c>
      <c r="E10" s="85"/>
      <c r="F10" s="85"/>
      <c r="G10" s="23"/>
      <c r="H10" s="23"/>
      <c r="I10" s="23"/>
      <c r="J10" s="23"/>
      <c r="L10" s="46" t="s">
        <v>79</v>
      </c>
      <c r="M10" s="23">
        <f>SUM(M4:M9)</f>
        <v>21</v>
      </c>
      <c r="N10" s="23">
        <f>SUM(N4:N9)</f>
        <v>61</v>
      </c>
      <c r="O10" s="47">
        <f>M10/M10</f>
        <v>1</v>
      </c>
      <c r="P10" s="45">
        <f t="shared" si="1"/>
        <v>1</v>
      </c>
      <c r="Q10" s="23">
        <f>SUM(Q4:Q9)</f>
        <v>2.4</v>
      </c>
      <c r="R10" s="23">
        <f>SUM(R4:R9)</f>
        <v>8.4</v>
      </c>
      <c r="S10" s="47">
        <f t="shared" si="2"/>
        <v>1</v>
      </c>
      <c r="T10" s="47">
        <f t="shared" si="3"/>
        <v>1</v>
      </c>
    </row>
    <row r="11" spans="1:20" s="2" customFormat="1" ht="50" customHeight="1">
      <c r="A11" s="6"/>
      <c r="B11" s="6" t="str">
        <f>_xlfn.XLOOKUP(A11,TrainingTable[Training Component],TrainingTable[Category of Training Stimulus],"")</f>
        <v/>
      </c>
      <c r="C11" s="6" t="s">
        <v>57</v>
      </c>
      <c r="D11" s="6" t="s">
        <v>57</v>
      </c>
      <c r="E11" s="85"/>
      <c r="F11" s="85"/>
      <c r="G11" s="23"/>
      <c r="H11" s="23"/>
      <c r="I11" s="23"/>
      <c r="J11" s="23"/>
      <c r="L11" s="24"/>
      <c r="M11" s="16"/>
      <c r="N11" s="16"/>
      <c r="O11" s="16"/>
      <c r="P11" s="16"/>
      <c r="Q11" s="16"/>
      <c r="S11" s="16"/>
      <c r="T11" s="16"/>
    </row>
    <row r="12" spans="1:20" s="2" customFormat="1" ht="50" customHeight="1">
      <c r="A12" s="6"/>
      <c r="B12" s="6" t="str">
        <f>_xlfn.XLOOKUP(A12,TrainingTable[Training Component],TrainingTable[Category of Training Stimulus],"")</f>
        <v/>
      </c>
      <c r="C12" s="6" t="s">
        <v>57</v>
      </c>
      <c r="D12" s="6" t="s">
        <v>57</v>
      </c>
      <c r="E12" s="85"/>
      <c r="F12" s="85"/>
      <c r="G12" s="23"/>
      <c r="H12" s="23"/>
      <c r="I12" s="23"/>
      <c r="J12" s="23"/>
      <c r="L12" s="24"/>
      <c r="M12" s="16"/>
      <c r="N12" s="16"/>
      <c r="O12" s="16"/>
      <c r="P12" s="16"/>
      <c r="Q12" s="16"/>
      <c r="S12" s="16"/>
      <c r="T12" s="16"/>
    </row>
    <row r="13" spans="1:20" s="2" customFormat="1" ht="50" customHeight="1">
      <c r="A13" s="6"/>
      <c r="B13" s="6" t="str">
        <f>_xlfn.XLOOKUP(A13,TrainingTable[Training Component],TrainingTable[Category of Training Stimulus],"")</f>
        <v/>
      </c>
      <c r="C13" s="6" t="s">
        <v>57</v>
      </c>
      <c r="D13" s="6" t="s">
        <v>57</v>
      </c>
      <c r="E13" s="85"/>
      <c r="F13" s="85"/>
      <c r="G13" s="23"/>
      <c r="H13" s="23"/>
      <c r="I13" s="23"/>
      <c r="J13" s="23"/>
      <c r="L13" s="24"/>
      <c r="M13" s="16"/>
      <c r="N13" s="16"/>
      <c r="O13" s="16"/>
      <c r="P13" s="16"/>
      <c r="Q13" s="16"/>
      <c r="S13" s="16"/>
      <c r="T13" s="16"/>
    </row>
    <row r="14" spans="1:20" s="2" customFormat="1" ht="50" customHeight="1">
      <c r="A14" s="6"/>
      <c r="B14" s="6" t="str">
        <f>_xlfn.XLOOKUP(A14,TrainingTable[Training Component],TrainingTable[Category of Training Stimulus],"")</f>
        <v/>
      </c>
      <c r="C14" s="6" t="s">
        <v>57</v>
      </c>
      <c r="D14" s="6" t="s">
        <v>57</v>
      </c>
      <c r="E14" s="85"/>
      <c r="F14" s="85"/>
      <c r="G14" s="23"/>
      <c r="H14" s="23"/>
      <c r="I14" s="23"/>
      <c r="J14" s="23"/>
      <c r="L14" s="24"/>
      <c r="M14" s="16"/>
      <c r="N14" s="16"/>
      <c r="O14" s="16"/>
      <c r="P14" s="16"/>
      <c r="Q14" s="16"/>
      <c r="S14" s="16"/>
      <c r="T14" s="16"/>
    </row>
    <row r="15" spans="1:20" s="2" customFormat="1" ht="50" customHeight="1">
      <c r="A15" s="6"/>
      <c r="B15" s="6" t="str">
        <f>_xlfn.XLOOKUP(A15,TrainingTable[Training Component],TrainingTable[Category of Training Stimulus],"")</f>
        <v/>
      </c>
      <c r="C15" s="6" t="s">
        <v>57</v>
      </c>
      <c r="D15" s="6" t="s">
        <v>57</v>
      </c>
      <c r="E15" s="85"/>
      <c r="F15" s="85"/>
      <c r="G15" s="23"/>
      <c r="H15" s="23"/>
      <c r="I15" s="23"/>
      <c r="J15" s="23"/>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5"/>
      <c r="F16" s="85"/>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5"/>
      <c r="F17" s="85"/>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5"/>
      <c r="F18" s="85"/>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5"/>
      <c r="F19" s="85"/>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5"/>
      <c r="F20" s="85"/>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5"/>
      <c r="F21" s="85"/>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5"/>
      <c r="F22" s="85"/>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5"/>
      <c r="F23" s="85"/>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5"/>
      <c r="F24" s="85"/>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5"/>
      <c r="F25" s="85"/>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5"/>
      <c r="F26" s="85"/>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7"/>
      <c r="F27" s="87"/>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7"/>
      <c r="F28" s="87"/>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7"/>
      <c r="F29" s="87"/>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Q2:T2"/>
    <mergeCell ref="E11:F11"/>
    <mergeCell ref="M2:P2"/>
    <mergeCell ref="M1:P1"/>
    <mergeCell ref="Q1:T1"/>
    <mergeCell ref="G1:J1"/>
    <mergeCell ref="E29:F29"/>
    <mergeCell ref="E18:F18"/>
    <mergeCell ref="E19:F19"/>
    <mergeCell ref="E20:F20"/>
    <mergeCell ref="E21:F21"/>
    <mergeCell ref="E22:F22"/>
    <mergeCell ref="E23:F23"/>
    <mergeCell ref="E24:F24"/>
    <mergeCell ref="E25:F25"/>
    <mergeCell ref="E26:F26"/>
    <mergeCell ref="E27:F27"/>
    <mergeCell ref="E28:F28"/>
    <mergeCell ref="E4:F4"/>
    <mergeCell ref="G2:H2"/>
    <mergeCell ref="I2:J2"/>
    <mergeCell ref="E17:F17"/>
    <mergeCell ref="E5:F5"/>
    <mergeCell ref="E6:F6"/>
    <mergeCell ref="E7:F7"/>
    <mergeCell ref="E8:F8"/>
    <mergeCell ref="E9:F9"/>
    <mergeCell ref="E10:F10"/>
    <mergeCell ref="E12:F12"/>
    <mergeCell ref="E13:F13"/>
    <mergeCell ref="E14:F14"/>
    <mergeCell ref="E15:F15"/>
    <mergeCell ref="E16:F16"/>
    <mergeCell ref="A2:A3"/>
    <mergeCell ref="B2:B3"/>
    <mergeCell ref="K2:K3"/>
    <mergeCell ref="D2:D3"/>
    <mergeCell ref="C2:C3"/>
    <mergeCell ref="E2:F3"/>
  </mergeCells>
  <conditionalFormatting sqref="A4:F4">
    <cfRule type="expression" dxfId="1103" priority="368">
      <formula>$B$4="Speed Development"</formula>
    </cfRule>
    <cfRule type="expression" dxfId="1102" priority="367">
      <formula>$B$4="Lactate Tolerance"</formula>
    </cfRule>
    <cfRule type="expression" dxfId="1101" priority="366">
      <formula>$B$4="VO2 Max"</formula>
    </cfRule>
    <cfRule type="expression" dxfId="1100" priority="365">
      <formula>$B$4="Threshold"</formula>
    </cfRule>
    <cfRule type="expression" dxfId="1099" priority="364">
      <formula>$B$4="Turnover and Pace Work"</formula>
    </cfRule>
    <cfRule type="expression" dxfId="1098" priority="363">
      <formula>$B$4="Aerobic Running"</formula>
    </cfRule>
    <cfRule type="expression" dxfId="1097" priority="362">
      <formula>$B$4="Stretching and Mobility"</formula>
    </cfRule>
    <cfRule type="expression" dxfId="1096" priority="361">
      <formula>$B$4="Recovery"</formula>
    </cfRule>
  </conditionalFormatting>
  <conditionalFormatting sqref="A5:F5">
    <cfRule type="expression" dxfId="1095" priority="176">
      <formula>$B$5="Speed Development"</formula>
    </cfRule>
    <cfRule type="expression" dxfId="1094" priority="175">
      <formula>$B$5="Lactate Tolerance"</formula>
    </cfRule>
    <cfRule type="expression" dxfId="1093" priority="174">
      <formula>$B$5="VO2 Max"</formula>
    </cfRule>
    <cfRule type="expression" dxfId="1092" priority="173">
      <formula>$B$5="Threshold"</formula>
    </cfRule>
    <cfRule type="expression" dxfId="1091" priority="172">
      <formula>$B$5="Turnover and Pace Work"</formula>
    </cfRule>
    <cfRule type="expression" dxfId="1090" priority="171">
      <formula>$B$5="Aerobic Running"</formula>
    </cfRule>
    <cfRule type="expression" dxfId="1089" priority="170">
      <formula>$B$5="Stretching and Mobility"</formula>
    </cfRule>
    <cfRule type="expression" dxfId="1088" priority="169">
      <formula>$B$5="Recovery"</formula>
    </cfRule>
  </conditionalFormatting>
  <conditionalFormatting sqref="A6:F6">
    <cfRule type="expression" dxfId="1087" priority="164">
      <formula>$B$6="Turnover and Pace Work"</formula>
    </cfRule>
    <cfRule type="expression" dxfId="1086" priority="167">
      <formula>$B$6="Lactate Tolerance"</formula>
    </cfRule>
    <cfRule type="expression" dxfId="1085" priority="166">
      <formula>$B$6="VO2 Max"</formula>
    </cfRule>
    <cfRule type="expression" dxfId="1084" priority="165">
      <formula>$B$6="Threshold"</formula>
    </cfRule>
    <cfRule type="expression" dxfId="1083" priority="168">
      <formula>$B$6="Speed Development"</formula>
    </cfRule>
    <cfRule type="expression" dxfId="1082" priority="163">
      <formula>$B$6="Aerobic Running"</formula>
    </cfRule>
    <cfRule type="expression" dxfId="1081" priority="162">
      <formula>$B$6="Stretching and Mobility"</formula>
    </cfRule>
    <cfRule type="expression" dxfId="1080" priority="161">
      <formula>$B$6="Recovery"</formula>
    </cfRule>
  </conditionalFormatting>
  <conditionalFormatting sqref="A7:F7">
    <cfRule type="expression" dxfId="1079" priority="160">
      <formula>$B$7="Speed Development"</formula>
    </cfRule>
    <cfRule type="expression" dxfId="1078" priority="159">
      <formula>$B$7="Lactate Tolerance"</formula>
    </cfRule>
    <cfRule type="expression" dxfId="1077" priority="158">
      <formula>$B$7="VO2 Max"</formula>
    </cfRule>
    <cfRule type="expression" dxfId="1076" priority="157">
      <formula>$B$7="Threshold"</formula>
    </cfRule>
    <cfRule type="expression" dxfId="1075" priority="156">
      <formula>$B$7="Turnover and Pace Work"</formula>
    </cfRule>
    <cfRule type="expression" dxfId="1074" priority="155">
      <formula>$B$7="Aerobic Running"</formula>
    </cfRule>
    <cfRule type="expression" dxfId="1073" priority="154">
      <formula>$B$7="Stretching and Mobility"</formula>
    </cfRule>
    <cfRule type="expression" dxfId="1072" priority="153">
      <formula>$B$7="Recovery"</formula>
    </cfRule>
  </conditionalFormatting>
  <conditionalFormatting sqref="A8:F8">
    <cfRule type="expression" dxfId="1071" priority="152">
      <formula>$B$8="Speed Development"</formula>
    </cfRule>
    <cfRule type="expression" dxfId="1070" priority="151">
      <formula>$B$8="Lactate Tolerance"</formula>
    </cfRule>
    <cfRule type="expression" dxfId="1069" priority="150">
      <formula>$B$8="VO2 Max"</formula>
    </cfRule>
    <cfRule type="expression" dxfId="1068" priority="149">
      <formula>$B$8="Threshold"</formula>
    </cfRule>
    <cfRule type="expression" dxfId="1067" priority="148">
      <formula>$B$8="Turnover and Pace Work"</formula>
    </cfRule>
    <cfRule type="expression" dxfId="1066" priority="147">
      <formula>$B$8="Aerobic Running"</formula>
    </cfRule>
    <cfRule type="expression" dxfId="1065" priority="146">
      <formula>$B$8="Stretching and Mobility"</formula>
    </cfRule>
    <cfRule type="expression" dxfId="1064" priority="145">
      <formula>$B$8="Recovery"</formula>
    </cfRule>
  </conditionalFormatting>
  <conditionalFormatting sqref="A9:F9">
    <cfRule type="expression" dxfId="1063" priority="140">
      <formula>$B$9="Turnover and Pace Work"</formula>
    </cfRule>
    <cfRule type="expression" dxfId="1062" priority="143">
      <formula>$B$9="Lactate Tolerance"</formula>
    </cfRule>
    <cfRule type="expression" dxfId="1061" priority="142">
      <formula>$B$9="VO2 Max"</formula>
    </cfRule>
    <cfRule type="expression" dxfId="1060" priority="141">
      <formula>$B$9="Threshold"</formula>
    </cfRule>
    <cfRule type="expression" dxfId="1059" priority="144">
      <formula>$B$9="Speed Development"</formula>
    </cfRule>
    <cfRule type="expression" dxfId="1058" priority="139">
      <formula>$B$9="Aerobic Running"</formula>
    </cfRule>
    <cfRule type="expression" dxfId="1057" priority="138">
      <formula>$B$9="Stretching and Mobility"</formula>
    </cfRule>
    <cfRule type="expression" dxfId="1056" priority="137">
      <formula>$B$9="Recovery"</formula>
    </cfRule>
  </conditionalFormatting>
  <conditionalFormatting sqref="A10:F10">
    <cfRule type="expression" dxfId="1055" priority="136">
      <formula>$B$10="Speed Development"</formula>
    </cfRule>
    <cfRule type="expression" dxfId="1054" priority="135">
      <formula>$B$10="Lactate Tolerance"</formula>
    </cfRule>
    <cfRule type="expression" dxfId="1053" priority="134">
      <formula>$B$10="VO2 Max"</formula>
    </cfRule>
    <cfRule type="expression" dxfId="1052" priority="133">
      <formula>$B$10="Threshold"</formula>
    </cfRule>
    <cfRule type="expression" dxfId="1051" priority="132">
      <formula>$B$10="Turnover and Pace Work"</formula>
    </cfRule>
    <cfRule type="expression" dxfId="1050" priority="131">
      <formula>$B$10="Aerobic Running"</formula>
    </cfRule>
    <cfRule type="expression" dxfId="1049" priority="130">
      <formula>$B$10="Stretching and Mobility"</formula>
    </cfRule>
    <cfRule type="expression" dxfId="1048" priority="129">
      <formula>$B$10="Recovery"</formula>
    </cfRule>
  </conditionalFormatting>
  <conditionalFormatting sqref="A11:F11">
    <cfRule type="expression" dxfId="1047" priority="128">
      <formula>$B$11="Speed Development"</formula>
    </cfRule>
    <cfRule type="expression" dxfId="1046" priority="127">
      <formula>$B$11="Lactate Tolerance"</formula>
    </cfRule>
    <cfRule type="expression" dxfId="1045" priority="126">
      <formula>$B$11="VO2 Max"</formula>
    </cfRule>
    <cfRule type="expression" dxfId="1044" priority="125">
      <formula>$B$11="Threshold"</formula>
    </cfRule>
    <cfRule type="expression" dxfId="1043" priority="124">
      <formula>$B$11="Turnover and Pace Work"</formula>
    </cfRule>
    <cfRule type="expression" dxfId="1042" priority="123">
      <formula>$B$11="Aerobic Running"</formula>
    </cfRule>
    <cfRule type="expression" dxfId="1041" priority="122">
      <formula>$B$11="Stretching and Mobility"</formula>
    </cfRule>
    <cfRule type="expression" dxfId="1040" priority="121">
      <formula>$B$11="Recovery"</formula>
    </cfRule>
  </conditionalFormatting>
  <conditionalFormatting sqref="A12:F12">
    <cfRule type="expression" dxfId="1039" priority="120">
      <formula>$B$12="Speed Development"</formula>
    </cfRule>
    <cfRule type="expression" dxfId="1038" priority="119">
      <formula>$B$12="Lactate Tolerance"</formula>
    </cfRule>
    <cfRule type="expression" dxfId="1037" priority="118">
      <formula>$B$12="VO2 Max"</formula>
    </cfRule>
    <cfRule type="expression" dxfId="1036" priority="117">
      <formula>$B$12="Threshold"</formula>
    </cfRule>
    <cfRule type="expression" dxfId="1035" priority="116">
      <formula>$B$12="Turnover and Pace Work"</formula>
    </cfRule>
    <cfRule type="expression" dxfId="1034" priority="115">
      <formula>$B$12="Aerobic Running"</formula>
    </cfRule>
    <cfRule type="expression" dxfId="1033" priority="114">
      <formula>$B$12="Stretching and Mobility"</formula>
    </cfRule>
    <cfRule type="expression" dxfId="1032" priority="113">
      <formula>$B$12="Recovery"</formula>
    </cfRule>
  </conditionalFormatting>
  <conditionalFormatting sqref="A13:F13">
    <cfRule type="expression" dxfId="1031" priority="112">
      <formula>$B$13="Speed Development"</formula>
    </cfRule>
    <cfRule type="expression" dxfId="1030" priority="111">
      <formula>$B$13="Lactate Tolerance"</formula>
    </cfRule>
    <cfRule type="expression" dxfId="1029" priority="110">
      <formula>$B$13="VO2 Max"</formula>
    </cfRule>
    <cfRule type="expression" dxfId="1028" priority="109">
      <formula>$B$13="Threshold"</formula>
    </cfRule>
    <cfRule type="expression" dxfId="1027" priority="108">
      <formula>$B$13="Turnover and Pace Work"</formula>
    </cfRule>
    <cfRule type="expression" dxfId="1026" priority="107">
      <formula>$B$13="Aerobic Running"</formula>
    </cfRule>
    <cfRule type="expression" dxfId="1025" priority="106">
      <formula>$B$13="Stretching and Mobility"</formula>
    </cfRule>
    <cfRule type="expression" dxfId="1024" priority="105">
      <formula>$B$13="Recovery"</formula>
    </cfRule>
  </conditionalFormatting>
  <conditionalFormatting sqref="A14:F14">
    <cfRule type="expression" dxfId="1023" priority="104">
      <formula>$B$14="Speed Development"</formula>
    </cfRule>
    <cfRule type="expression" dxfId="1022" priority="103">
      <formula>$B$14="Lactate Tolerance"</formula>
    </cfRule>
    <cfRule type="expression" dxfId="1021" priority="102">
      <formula>$B$14="VO2 Max"</formula>
    </cfRule>
    <cfRule type="expression" dxfId="1020" priority="101">
      <formula>$B$14="Threshold"</formula>
    </cfRule>
    <cfRule type="expression" dxfId="1019" priority="100">
      <formula>$B$14="Turnover and Pace Work"</formula>
    </cfRule>
    <cfRule type="expression" dxfId="1018" priority="99">
      <formula>$B$14="Aerobic Running"</formula>
    </cfRule>
    <cfRule type="expression" dxfId="1017" priority="98">
      <formula>$B$14="Stretching and Mobility"</formula>
    </cfRule>
    <cfRule type="expression" dxfId="1016" priority="97">
      <formula>$B$14="Recovery"</formula>
    </cfRule>
  </conditionalFormatting>
  <conditionalFormatting sqref="A15:F15">
    <cfRule type="expression" dxfId="1015" priority="93">
      <formula>$B$15="Threshold"</formula>
    </cfRule>
    <cfRule type="expression" dxfId="1014" priority="90">
      <formula>$B$15="Stretching and Mobility"</formula>
    </cfRule>
    <cfRule type="expression" dxfId="1013" priority="91">
      <formula>$B$15="Aerobic Running"</formula>
    </cfRule>
    <cfRule type="expression" dxfId="1012" priority="92">
      <formula>$B$15="Turnover and Pace Work"</formula>
    </cfRule>
    <cfRule type="expression" dxfId="1011" priority="89">
      <formula>$B$15="Recovery"</formula>
    </cfRule>
    <cfRule type="expression" dxfId="1010" priority="94">
      <formula>$B$15="VO2 Max"</formula>
    </cfRule>
    <cfRule type="expression" dxfId="1009" priority="95">
      <formula>$B$15="Lactate Tolerance"</formula>
    </cfRule>
    <cfRule type="expression" dxfId="1008" priority="96">
      <formula>$B$15="Speed Development"</formula>
    </cfRule>
  </conditionalFormatting>
  <conditionalFormatting sqref="A16:F16">
    <cfRule type="expression" dxfId="1007" priority="88">
      <formula>$B$16="Speed Development"</formula>
    </cfRule>
    <cfRule type="expression" dxfId="1006" priority="87">
      <formula>$B$16="Lactate Tolerance"</formula>
    </cfRule>
    <cfRule type="expression" dxfId="1005" priority="86">
      <formula>$B$16="VO2 Max"</formula>
    </cfRule>
    <cfRule type="expression" dxfId="1004" priority="85">
      <formula>$B$16="Threshold"</formula>
    </cfRule>
    <cfRule type="expression" dxfId="1003" priority="84">
      <formula>$B$16="Turnover and Pace Work"</formula>
    </cfRule>
    <cfRule type="expression" dxfId="1002" priority="83">
      <formula>$B$16="Aerobic Running"</formula>
    </cfRule>
    <cfRule type="expression" dxfId="1001" priority="82">
      <formula>$B$16="Stretching and Mobility"</formula>
    </cfRule>
    <cfRule type="expression" dxfId="1000" priority="81">
      <formula>$B$16="Recovery"</formula>
    </cfRule>
  </conditionalFormatting>
  <conditionalFormatting sqref="A17:F17">
    <cfRule type="expression" dxfId="999" priority="80">
      <formula>$B$17="Speed Development"</formula>
    </cfRule>
    <cfRule type="expression" dxfId="998" priority="79">
      <formula>$B$17="Lactate Tolerance"</formula>
    </cfRule>
    <cfRule type="expression" dxfId="997" priority="78">
      <formula>$B$17="VO2 Max"</formula>
    </cfRule>
    <cfRule type="expression" dxfId="996" priority="77">
      <formula>$B$17="Threshold"</formula>
    </cfRule>
    <cfRule type="expression" dxfId="995" priority="76">
      <formula>$B$17="Turnover and Pace Work"</formula>
    </cfRule>
    <cfRule type="expression" dxfId="994" priority="75">
      <formula>$B$17="Aerobic Running"</formula>
    </cfRule>
    <cfRule type="expression" dxfId="993" priority="74">
      <formula>$B$17="Stretching and Mobility"</formula>
    </cfRule>
    <cfRule type="expression" dxfId="992" priority="73">
      <formula>$B$17="Recovery"</formula>
    </cfRule>
  </conditionalFormatting>
  <conditionalFormatting sqref="A18:F18">
    <cfRule type="expression" dxfId="991" priority="72">
      <formula>$B$18="Speed Development"</formula>
    </cfRule>
    <cfRule type="expression" dxfId="990" priority="71">
      <formula>$B$18="Lactate Tolerance"</formula>
    </cfRule>
    <cfRule type="expression" dxfId="989" priority="70">
      <formula>$B$18="VO2 Max"</formula>
    </cfRule>
    <cfRule type="expression" dxfId="988" priority="69">
      <formula>$B$18="Threshold"</formula>
    </cfRule>
    <cfRule type="expression" dxfId="987" priority="68">
      <formula>$B$18="Turnover and Pace Work"</formula>
    </cfRule>
    <cfRule type="expression" dxfId="986" priority="67">
      <formula>$B$18="Aerobic Running"</formula>
    </cfRule>
    <cfRule type="expression" dxfId="985" priority="66">
      <formula>$B$18="Stretching and Mobility"</formula>
    </cfRule>
    <cfRule type="expression" dxfId="984" priority="65">
      <formula>$B$18="Recovery"</formula>
    </cfRule>
  </conditionalFormatting>
  <conditionalFormatting sqref="A19:F19">
    <cfRule type="expression" dxfId="983" priority="64">
      <formula>$B$19="Speed Development"</formula>
    </cfRule>
    <cfRule type="expression" dxfId="982" priority="63">
      <formula>$B$19="Lactate Tolerance"</formula>
    </cfRule>
    <cfRule type="expression" dxfId="981" priority="62">
      <formula>$B$19="VO2 Max"</formula>
    </cfRule>
    <cfRule type="expression" dxfId="980" priority="61">
      <formula>$B$19="Threshold"</formula>
    </cfRule>
    <cfRule type="expression" dxfId="979" priority="60">
      <formula>$B$19="Turnover and Pace Work"</formula>
    </cfRule>
    <cfRule type="expression" dxfId="978" priority="59">
      <formula>$B$19="Aerobic Running"</formula>
    </cfRule>
    <cfRule type="expression" dxfId="977" priority="58">
      <formula>$B$19="Stretching and Mobility"</formula>
    </cfRule>
    <cfRule type="expression" dxfId="976" priority="57">
      <formula>$B$19="Recovery"</formula>
    </cfRule>
  </conditionalFormatting>
  <conditionalFormatting sqref="A20:F20">
    <cfRule type="expression" dxfId="975" priority="56">
      <formula>$B$20="Speed Development"</formula>
    </cfRule>
    <cfRule type="expression" dxfId="974" priority="55">
      <formula>$B$20="Lactate Tolerance"</formula>
    </cfRule>
    <cfRule type="expression" dxfId="973" priority="54">
      <formula>$B$20="VO2 Max"</formula>
    </cfRule>
    <cfRule type="expression" dxfId="972" priority="53">
      <formula>$B$20="Threshold"</formula>
    </cfRule>
    <cfRule type="expression" dxfId="971" priority="52">
      <formula>$B$20="Turnover and Pace Work"</formula>
    </cfRule>
    <cfRule type="expression" dxfId="970" priority="51">
      <formula>$B$20="Aerobic Running"</formula>
    </cfRule>
    <cfRule type="expression" dxfId="969" priority="50">
      <formula>$B$20="Stretching and Mobility"</formula>
    </cfRule>
    <cfRule type="expression" dxfId="968" priority="49">
      <formula>$B$20="Recovery"</formula>
    </cfRule>
  </conditionalFormatting>
  <conditionalFormatting sqref="A21:F21">
    <cfRule type="expression" dxfId="967" priority="48">
      <formula>$B$21="Speed Development"</formula>
    </cfRule>
    <cfRule type="expression" dxfId="966" priority="47">
      <formula>$B$21="Lactate Tolerance"</formula>
    </cfRule>
    <cfRule type="expression" dxfId="965" priority="46">
      <formula>$B$21="VO2 Max"</formula>
    </cfRule>
    <cfRule type="expression" dxfId="964" priority="45">
      <formula>$B$21="Threshold"</formula>
    </cfRule>
    <cfRule type="expression" dxfId="963" priority="44">
      <formula>$B$21="Turnover and Pace Work"</formula>
    </cfRule>
    <cfRule type="expression" dxfId="962" priority="43">
      <formula>$B$21="Aerobic Running"</formula>
    </cfRule>
    <cfRule type="expression" dxfId="961" priority="42">
      <formula>$B$21="Stretching and Mobility"</formula>
    </cfRule>
    <cfRule type="expression" dxfId="960" priority="41">
      <formula>$B$21="Recovery"</formula>
    </cfRule>
  </conditionalFormatting>
  <conditionalFormatting sqref="A22:F22">
    <cfRule type="expression" dxfId="959" priority="40">
      <formula>$B$22="Speed Development"</formula>
    </cfRule>
    <cfRule type="expression" dxfId="958" priority="39">
      <formula>$B$22="Lactate Tolerance"</formula>
    </cfRule>
    <cfRule type="expression" dxfId="957" priority="38">
      <formula>$B$22="VO2 Max"</formula>
    </cfRule>
    <cfRule type="expression" dxfId="956" priority="37">
      <formula>$B$22="Threshold"</formula>
    </cfRule>
    <cfRule type="expression" dxfId="955" priority="36">
      <formula>$B$22="Turnover and Pace Work"</formula>
    </cfRule>
    <cfRule type="expression" dxfId="954" priority="35">
      <formula>$B$22="Aerobic Running"</formula>
    </cfRule>
    <cfRule type="expression" dxfId="953" priority="34">
      <formula>$B$22="Stretching and Mobility"</formula>
    </cfRule>
    <cfRule type="expression" dxfId="952" priority="33">
      <formula>$B$22="Recovery"</formula>
    </cfRule>
  </conditionalFormatting>
  <conditionalFormatting sqref="A23:F23">
    <cfRule type="expression" dxfId="951" priority="32">
      <formula>$B$23="Speed Development"</formula>
    </cfRule>
    <cfRule type="expression" dxfId="950" priority="31">
      <formula>$B$23="Lactate Tolerance"</formula>
    </cfRule>
    <cfRule type="expression" dxfId="949" priority="30">
      <formula>$B$23="VO2 Max"</formula>
    </cfRule>
    <cfRule type="expression" dxfId="948" priority="29">
      <formula>$B$23="Threshold"</formula>
    </cfRule>
    <cfRule type="expression" dxfId="947" priority="28">
      <formula>$B$23="Turnover and Pace Work"</formula>
    </cfRule>
    <cfRule type="expression" dxfId="946" priority="27">
      <formula>$B$23="Aerobic Running"</formula>
    </cfRule>
    <cfRule type="expression" dxfId="945" priority="26">
      <formula>$B$23="Stretching and Mobility"</formula>
    </cfRule>
    <cfRule type="expression" dxfId="944" priority="25">
      <formula>$B$23="Recovery"</formula>
    </cfRule>
  </conditionalFormatting>
  <conditionalFormatting sqref="A24:F24">
    <cfRule type="expression" dxfId="943" priority="24">
      <formula>$B$24="Speed Development"</formula>
    </cfRule>
    <cfRule type="expression" dxfId="942" priority="23">
      <formula>$B$24="Lactate Tolerance"</formula>
    </cfRule>
    <cfRule type="expression" dxfId="941" priority="22">
      <formula>$B$24="VO2 Max"</formula>
    </cfRule>
    <cfRule type="expression" dxfId="940" priority="21">
      <formula>$B$24="Threshold"</formula>
    </cfRule>
    <cfRule type="expression" dxfId="939" priority="20">
      <formula>$B$24="Turnover and Pace Work"</formula>
    </cfRule>
    <cfRule type="expression" dxfId="938" priority="19">
      <formula>$B$24="Aerobic Running"</formula>
    </cfRule>
    <cfRule type="expression" dxfId="937" priority="18">
      <formula>$B$24="Stretching and Mobility"</formula>
    </cfRule>
    <cfRule type="expression" dxfId="936" priority="17">
      <formula>$B$24="Recovery"</formula>
    </cfRule>
  </conditionalFormatting>
  <conditionalFormatting sqref="A25:F25">
    <cfRule type="expression" dxfId="935" priority="16">
      <formula>$B$25="Speed Development"</formula>
    </cfRule>
    <cfRule type="expression" dxfId="934" priority="15">
      <formula>$B$25="Lactate Tolerance"</formula>
    </cfRule>
    <cfRule type="expression" dxfId="933" priority="14">
      <formula>$B$25="VO2 Max"</formula>
    </cfRule>
    <cfRule type="expression" dxfId="932" priority="13">
      <formula>$B$25="Threshold"</formula>
    </cfRule>
    <cfRule type="expression" dxfId="931" priority="12">
      <formula>$B$25="Turnover and Pace Work"</formula>
    </cfRule>
    <cfRule type="expression" dxfId="930" priority="11">
      <formula>$B$25="Aerobic Running"</formula>
    </cfRule>
    <cfRule type="expression" dxfId="929" priority="10">
      <formula>$B$25="Stretching and Mobility"</formula>
    </cfRule>
    <cfRule type="expression" dxfId="928" priority="9">
      <formula>$B$25="Recovery"</formula>
    </cfRule>
  </conditionalFormatting>
  <conditionalFormatting sqref="A26:F26">
    <cfRule type="expression" dxfId="927" priority="8">
      <formula>$B$26="Speed Development"</formula>
    </cfRule>
    <cfRule type="expression" dxfId="926" priority="7">
      <formula>$B$26="Lactate Tolerance"</formula>
    </cfRule>
    <cfRule type="expression" dxfId="925" priority="6">
      <formula>$B$26="VO2 Max"</formula>
    </cfRule>
    <cfRule type="expression" dxfId="924" priority="5">
      <formula>$B$26="Threshold"</formula>
    </cfRule>
    <cfRule type="expression" dxfId="923" priority="4">
      <formula>$B$26="Turnover and Pace Work"</formula>
    </cfRule>
    <cfRule type="expression" dxfId="922" priority="3">
      <formula>$B$26="Aerobic Running"</formula>
    </cfRule>
    <cfRule type="expression" dxfId="921" priority="2">
      <formula>$B$26="Stretching and Mobility"</formula>
    </cfRule>
    <cfRule type="expression" dxfId="92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H13" sqref="H13"/>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81</v>
      </c>
      <c r="B1" s="21">
        <v>45685</v>
      </c>
      <c r="C1" s="20" t="s">
        <v>112</v>
      </c>
      <c r="D1" s="20" t="s">
        <v>193</v>
      </c>
      <c r="E1" s="92" t="s">
        <v>60</v>
      </c>
      <c r="F1" s="92"/>
      <c r="G1" s="90" t="s">
        <v>53</v>
      </c>
      <c r="H1" s="91"/>
      <c r="I1" s="91"/>
      <c r="J1" s="91"/>
      <c r="L1" s="25" t="s">
        <v>39</v>
      </c>
      <c r="M1" s="86" t="s">
        <v>11</v>
      </c>
      <c r="N1" s="86"/>
      <c r="O1" s="86"/>
      <c r="P1" s="86"/>
      <c r="Q1" s="86" t="s">
        <v>12</v>
      </c>
      <c r="R1" s="86"/>
      <c r="S1" s="86"/>
      <c r="T1" s="86"/>
    </row>
    <row r="2" spans="1:20" ht="25" customHeight="1">
      <c r="A2" s="82" t="s">
        <v>16</v>
      </c>
      <c r="B2" s="82" t="s">
        <v>40</v>
      </c>
      <c r="C2" s="82" t="s">
        <v>54</v>
      </c>
      <c r="D2" s="82" t="s">
        <v>62</v>
      </c>
      <c r="E2" s="84" t="s">
        <v>13</v>
      </c>
      <c r="F2" s="84"/>
      <c r="G2" s="86" t="s">
        <v>47</v>
      </c>
      <c r="H2" s="86"/>
      <c r="I2" s="86" t="s">
        <v>46</v>
      </c>
      <c r="J2" s="86"/>
      <c r="K2" s="83"/>
      <c r="L2" s="26"/>
      <c r="M2" s="89" t="s">
        <v>77</v>
      </c>
      <c r="N2" s="89"/>
      <c r="O2" s="89"/>
      <c r="P2" s="89"/>
      <c r="Q2" s="88" t="s">
        <v>78</v>
      </c>
      <c r="R2" s="88"/>
      <c r="S2" s="88"/>
      <c r="T2" s="88"/>
    </row>
    <row r="3" spans="1:20" ht="25" customHeight="1">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5" t="s">
        <v>204</v>
      </c>
      <c r="F4" s="85"/>
      <c r="G4" s="23">
        <v>4</v>
      </c>
      <c r="H4" s="23">
        <v>5</v>
      </c>
      <c r="I4" s="23">
        <v>0.5</v>
      </c>
      <c r="J4" s="23">
        <v>0.75</v>
      </c>
      <c r="K4" s="2"/>
      <c r="L4" s="27" t="s">
        <v>76</v>
      </c>
      <c r="M4" s="28">
        <f>SUMIF($B$4:$B$26,"Aerobic Running",G4:G26)</f>
        <v>9</v>
      </c>
      <c r="N4" s="28">
        <f>SUMIF($B$4:$B$26,"Aerobic Running",H4:H26)</f>
        <v>20</v>
      </c>
      <c r="O4" s="39">
        <f t="shared" ref="O4:O9" si="0">M4/$M$10</f>
        <v>0.32727272727272727</v>
      </c>
      <c r="P4" s="39">
        <f t="shared" ref="P4:P10" si="1">N4/$N$10</f>
        <v>0.32520325203252032</v>
      </c>
      <c r="Q4" s="28">
        <f>SUMIF($B$4:$B$26,"Aerobic Running",I4:I26)</f>
        <v>1</v>
      </c>
      <c r="R4" s="28">
        <f>SUMIF($B$4:$B$26,"Aerobic Running",J4:J26)</f>
        <v>2.75</v>
      </c>
      <c r="S4" s="39">
        <f>Q4/$Q$10</f>
        <v>0.20833333333333334</v>
      </c>
      <c r="T4" s="39">
        <f>R4/$R$10</f>
        <v>0.2879581151832461</v>
      </c>
    </row>
    <row r="5" spans="1:20" ht="50" customHeight="1">
      <c r="A5" s="6" t="s">
        <v>19</v>
      </c>
      <c r="B5" s="6" t="str">
        <f>_xlfn.XLOOKUP(A5,TrainingTable[Training Component],TrainingTable[Category of Training Stimulus],"")</f>
        <v>Stretching and Mobility</v>
      </c>
      <c r="C5" s="6" t="s">
        <v>55</v>
      </c>
      <c r="D5" s="6" t="s">
        <v>67</v>
      </c>
      <c r="E5" s="85" t="s">
        <v>70</v>
      </c>
      <c r="F5" s="85"/>
      <c r="G5" s="23">
        <v>5</v>
      </c>
      <c r="H5" s="23">
        <v>8</v>
      </c>
      <c r="I5" s="23">
        <v>0</v>
      </c>
      <c r="J5" s="23">
        <v>0</v>
      </c>
      <c r="K5" s="2"/>
      <c r="L5" s="29" t="s">
        <v>34</v>
      </c>
      <c r="M5" s="30">
        <f>SUMIF($B$4:$B$26,"Turnover and Pace Work",G4:G26)</f>
        <v>1</v>
      </c>
      <c r="N5" s="30">
        <f>SUMIF($B$4:$B$26,"Turnover and Pace Work",H4:H26)</f>
        <v>1</v>
      </c>
      <c r="O5" s="40">
        <f t="shared" si="0"/>
        <v>3.6363636363636362E-2</v>
      </c>
      <c r="P5" s="40">
        <f t="shared" si="1"/>
        <v>1.6260162601626018E-2</v>
      </c>
      <c r="Q5" s="30">
        <f>SUMIF($B$4:$B$26,"Turnover and Pace Work",I4:I26)</f>
        <v>0.2</v>
      </c>
      <c r="R5" s="30">
        <f>SUMIF($B$4:$B$26,"Turnover and Pace Work",J4:J26)</f>
        <v>0.2</v>
      </c>
      <c r="S5" s="40">
        <f t="shared" ref="S5:S10" si="2">Q5/$Q$10</f>
        <v>4.1666666666666671E-2</v>
      </c>
      <c r="T5" s="40">
        <f t="shared" ref="T5:T10" si="3">R5/$R$10</f>
        <v>2.0942408376963356E-2</v>
      </c>
    </row>
    <row r="6" spans="1:20" ht="50" customHeight="1">
      <c r="A6" s="6" t="s">
        <v>43</v>
      </c>
      <c r="B6" s="6" t="str">
        <f>_xlfn.XLOOKUP(A6,TrainingTable[Training Component],TrainingTable[Category of Training Stimulus],"")</f>
        <v>Turnover and Pace Work</v>
      </c>
      <c r="C6" s="6" t="s">
        <v>55</v>
      </c>
      <c r="D6" s="6" t="s">
        <v>68</v>
      </c>
      <c r="E6" s="85" t="s">
        <v>71</v>
      </c>
      <c r="F6" s="85"/>
      <c r="G6" s="23">
        <v>1</v>
      </c>
      <c r="H6" s="23">
        <v>1</v>
      </c>
      <c r="I6" s="23">
        <v>0.2</v>
      </c>
      <c r="J6" s="23">
        <v>0.2</v>
      </c>
      <c r="K6" s="2"/>
      <c r="L6" s="31" t="s">
        <v>22</v>
      </c>
      <c r="M6" s="32">
        <f>SUMIF($B$4:$B$26,"Threshold",G4:G26)</f>
        <v>15</v>
      </c>
      <c r="N6" s="32">
        <f>SUMIF($B$4:$B$26,"Threshold",H4:H26)</f>
        <v>35</v>
      </c>
      <c r="O6" s="41">
        <f t="shared" si="0"/>
        <v>0.54545454545454541</v>
      </c>
      <c r="P6" s="41">
        <f t="shared" si="1"/>
        <v>0.56910569105691056</v>
      </c>
      <c r="Q6" s="32">
        <f>SUMIF($B$4:$B$26,"Threshold",I4:I26)</f>
        <v>3</v>
      </c>
      <c r="R6" s="32">
        <f>SUMIF($B$4:$B$26,"Threshold",J4:J26)</f>
        <v>5</v>
      </c>
      <c r="S6" s="41">
        <f t="shared" si="2"/>
        <v>0.625</v>
      </c>
      <c r="T6" s="41">
        <f t="shared" si="3"/>
        <v>0.52356020942408388</v>
      </c>
    </row>
    <row r="7" spans="1:20" ht="50" customHeight="1">
      <c r="A7" s="6" t="s">
        <v>49</v>
      </c>
      <c r="B7" s="6" t="str">
        <f>_xlfn.XLOOKUP(A7,TrainingTable[Training Component],TrainingTable[Category of Training Stimulus],"")</f>
        <v>Recovery</v>
      </c>
      <c r="C7" s="6" t="s">
        <v>57</v>
      </c>
      <c r="D7" s="6" t="s">
        <v>57</v>
      </c>
      <c r="E7" s="85" t="s">
        <v>73</v>
      </c>
      <c r="F7" s="85"/>
      <c r="G7" s="23">
        <v>3</v>
      </c>
      <c r="H7" s="23">
        <v>3</v>
      </c>
      <c r="I7" s="23">
        <v>0</v>
      </c>
      <c r="J7" s="23">
        <v>0</v>
      </c>
      <c r="K7" s="2"/>
      <c r="L7" s="35" t="s">
        <v>1</v>
      </c>
      <c r="M7" s="36">
        <f>SUMIF($B$4:$B$26,"VO2 Max",G4:G26)</f>
        <v>2</v>
      </c>
      <c r="N7" s="36">
        <f>SUMIF($B$4:$B$26,"VO2 Max",H4:H26)</f>
        <v>5</v>
      </c>
      <c r="O7" s="42">
        <f t="shared" si="0"/>
        <v>7.2727272727272724E-2</v>
      </c>
      <c r="P7" s="42">
        <f t="shared" si="1"/>
        <v>8.1300813008130079E-2</v>
      </c>
      <c r="Q7" s="36">
        <f>SUMIF($B$4:$B$26,"VO2 Max",I4:I26)</f>
        <v>0.5</v>
      </c>
      <c r="R7" s="36">
        <f>SUMIF($B$4:$B$26,"VO2 Max",J4:J26)</f>
        <v>1.5</v>
      </c>
      <c r="S7" s="42">
        <f t="shared" si="2"/>
        <v>0.10416666666666667</v>
      </c>
      <c r="T7" s="42">
        <f t="shared" si="3"/>
        <v>0.15706806282722516</v>
      </c>
    </row>
    <row r="8" spans="1:20" ht="50" customHeight="1">
      <c r="A8" s="6" t="s">
        <v>31</v>
      </c>
      <c r="B8" s="6" t="str">
        <f>_xlfn.XLOOKUP(A8,TrainingTable[Training Component],TrainingTable[Category of Training Stimulus],"")</f>
        <v>Speed Development</v>
      </c>
      <c r="C8" s="6" t="s">
        <v>56</v>
      </c>
      <c r="D8" s="6" t="s">
        <v>64</v>
      </c>
      <c r="E8" s="85" t="s">
        <v>72</v>
      </c>
      <c r="F8" s="85"/>
      <c r="G8" s="23">
        <v>0.5</v>
      </c>
      <c r="H8" s="23">
        <v>0.5</v>
      </c>
      <c r="I8" s="23">
        <v>0.1</v>
      </c>
      <c r="J8" s="23">
        <v>0.1</v>
      </c>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t="s">
        <v>49</v>
      </c>
      <c r="B9" s="6" t="str">
        <f>_xlfn.XLOOKUP(A9,TrainingTable[Training Component],TrainingTable[Category of Training Stimulus],"")</f>
        <v>Recovery</v>
      </c>
      <c r="C9" s="6" t="s">
        <v>57</v>
      </c>
      <c r="D9" s="6" t="s">
        <v>57</v>
      </c>
      <c r="E9" s="85" t="s">
        <v>74</v>
      </c>
      <c r="F9" s="85"/>
      <c r="G9" s="23">
        <v>3</v>
      </c>
      <c r="H9" s="23">
        <v>3</v>
      </c>
      <c r="I9" s="23">
        <v>0</v>
      </c>
      <c r="J9" s="23">
        <v>0</v>
      </c>
      <c r="K9" s="2"/>
      <c r="L9" s="37" t="s">
        <v>3</v>
      </c>
      <c r="M9" s="38">
        <f>SUMIF($B$4:$B$26,"Speed Development",G4:G26)</f>
        <v>0.5</v>
      </c>
      <c r="N9" s="38">
        <f>SUMIF($B$4:$B$26,"Speed Development",H4:H26)</f>
        <v>0.5</v>
      </c>
      <c r="O9" s="44">
        <f t="shared" si="0"/>
        <v>1.8181818181818181E-2</v>
      </c>
      <c r="P9" s="44">
        <f t="shared" si="1"/>
        <v>8.130081300813009E-3</v>
      </c>
      <c r="Q9" s="38">
        <f>SUMIF($B$4:$B$26,"Speed Development",I4:I26)</f>
        <v>0.1</v>
      </c>
      <c r="R9" s="38">
        <f>SUMIF($B$4:$B$26,"Speed Development",J4:J26)</f>
        <v>0.1</v>
      </c>
      <c r="S9" s="44">
        <f t="shared" si="2"/>
        <v>2.0833333333333336E-2</v>
      </c>
      <c r="T9" s="44">
        <f t="shared" si="3"/>
        <v>1.0471204188481678E-2</v>
      </c>
    </row>
    <row r="10" spans="1:20" ht="50" customHeight="1">
      <c r="A10" s="6" t="s">
        <v>23</v>
      </c>
      <c r="B10" s="6" t="str">
        <f>_xlfn.XLOOKUP(A10,TrainingTable[Training Component],TrainingTable[Category of Training Stimulus],"")</f>
        <v>Threshold</v>
      </c>
      <c r="C10" s="6" t="s">
        <v>58</v>
      </c>
      <c r="D10" s="6" t="s">
        <v>64</v>
      </c>
      <c r="E10" s="85" t="s">
        <v>192</v>
      </c>
      <c r="F10" s="85"/>
      <c r="G10" s="23">
        <v>15</v>
      </c>
      <c r="H10" s="23">
        <v>35</v>
      </c>
      <c r="I10" s="23">
        <v>3</v>
      </c>
      <c r="J10" s="23">
        <v>5</v>
      </c>
      <c r="K10" s="2"/>
      <c r="L10" s="46" t="s">
        <v>79</v>
      </c>
      <c r="M10" s="23">
        <f>SUM(M4:M9)</f>
        <v>27.5</v>
      </c>
      <c r="N10" s="23">
        <f>SUM(N4:N9)</f>
        <v>61.5</v>
      </c>
      <c r="O10" s="47">
        <f>M10/M10</f>
        <v>1</v>
      </c>
      <c r="P10" s="45">
        <f t="shared" si="1"/>
        <v>1</v>
      </c>
      <c r="Q10" s="23">
        <f>SUM(Q4:Q9)</f>
        <v>4.8</v>
      </c>
      <c r="R10" s="23">
        <f>SUM(R4:R9)</f>
        <v>9.5499999999999989</v>
      </c>
      <c r="S10" s="47">
        <f t="shared" si="2"/>
        <v>1</v>
      </c>
      <c r="T10" s="47">
        <f t="shared" si="3"/>
        <v>1</v>
      </c>
    </row>
    <row r="11" spans="1:20" ht="50" customHeight="1">
      <c r="A11" s="6" t="s">
        <v>52</v>
      </c>
      <c r="B11" s="6" t="str">
        <f>_xlfn.XLOOKUP(A11,TrainingTable[Training Component],TrainingTable[Category of Training Stimulus],"")</f>
        <v>Recovery</v>
      </c>
      <c r="C11" s="6" t="s">
        <v>58</v>
      </c>
      <c r="D11" s="6" t="s">
        <v>64</v>
      </c>
      <c r="E11" s="85" t="s">
        <v>75</v>
      </c>
      <c r="F11" s="85"/>
      <c r="G11" s="23">
        <v>5</v>
      </c>
      <c r="H11" s="23">
        <v>5</v>
      </c>
      <c r="I11" s="23">
        <v>0.4</v>
      </c>
      <c r="J11" s="23">
        <v>0.75</v>
      </c>
      <c r="K11" s="2"/>
      <c r="L11" s="24"/>
      <c r="M11" s="16"/>
      <c r="N11" s="16"/>
      <c r="O11" s="16"/>
      <c r="P11" s="16"/>
      <c r="Q11" s="16"/>
      <c r="R11" s="2"/>
      <c r="S11" s="16"/>
      <c r="T11" s="16"/>
    </row>
    <row r="12" spans="1:20" ht="50" customHeight="1">
      <c r="A12" s="6" t="s">
        <v>27</v>
      </c>
      <c r="B12" s="6" t="str">
        <f>_xlfn.XLOOKUP(A12,TrainingTable[Training Component],TrainingTable[Category of Training Stimulus],"")</f>
        <v>VO2 Max</v>
      </c>
      <c r="C12" s="6" t="s">
        <v>58</v>
      </c>
      <c r="D12" s="6" t="s">
        <v>64</v>
      </c>
      <c r="E12" s="85" t="s">
        <v>189</v>
      </c>
      <c r="F12" s="85"/>
      <c r="G12" s="23">
        <v>2</v>
      </c>
      <c r="H12" s="23">
        <v>5</v>
      </c>
      <c r="I12" s="23">
        <v>0.5</v>
      </c>
      <c r="J12" s="23">
        <v>1.5</v>
      </c>
      <c r="K12" s="2"/>
      <c r="L12" s="24"/>
      <c r="M12" s="16"/>
      <c r="N12" s="16"/>
      <c r="O12" s="16"/>
      <c r="P12" s="16"/>
      <c r="Q12" s="16"/>
      <c r="R12" s="2"/>
      <c r="S12" s="16"/>
      <c r="T12" s="16"/>
    </row>
    <row r="13" spans="1:20" ht="50" customHeight="1">
      <c r="A13" s="6" t="s">
        <v>21</v>
      </c>
      <c r="B13" s="6" t="str">
        <f>_xlfn.XLOOKUP(A13,TrainingTable[Training Component],TrainingTable[Category of Training Stimulus],"")</f>
        <v>Stretching and Mobility</v>
      </c>
      <c r="C13" s="6" t="s">
        <v>55</v>
      </c>
      <c r="D13" s="6" t="s">
        <v>57</v>
      </c>
      <c r="E13" s="85" t="s">
        <v>80</v>
      </c>
      <c r="F13" s="85"/>
      <c r="G13" s="23">
        <v>5</v>
      </c>
      <c r="H13" s="23">
        <v>5</v>
      </c>
      <c r="I13" s="23">
        <v>0</v>
      </c>
      <c r="J13" s="23">
        <v>0</v>
      </c>
      <c r="K13" s="2"/>
      <c r="L13" s="24"/>
      <c r="M13" s="16"/>
      <c r="N13" s="16"/>
      <c r="O13" s="16"/>
      <c r="P13" s="16"/>
      <c r="Q13" s="16"/>
      <c r="R13" s="2"/>
      <c r="S13" s="16"/>
      <c r="T13" s="16"/>
    </row>
    <row r="14" spans="1:20" ht="50" customHeight="1">
      <c r="A14" s="6" t="s">
        <v>14</v>
      </c>
      <c r="B14" s="6" t="str">
        <f>_xlfn.XLOOKUP(A14,TrainingTable[Training Component],TrainingTable[Category of Training Stimulus],"")</f>
        <v>Aerobic Running</v>
      </c>
      <c r="C14" s="6" t="s">
        <v>55</v>
      </c>
      <c r="D14" s="6" t="s">
        <v>67</v>
      </c>
      <c r="E14" s="85" t="s">
        <v>69</v>
      </c>
      <c r="F14" s="85"/>
      <c r="G14" s="23">
        <v>5</v>
      </c>
      <c r="H14" s="23">
        <v>15</v>
      </c>
      <c r="I14" s="23">
        <v>0.5</v>
      </c>
      <c r="J14" s="23">
        <v>2</v>
      </c>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919" priority="184">
      <formula>$B$4="Speed Development"</formula>
    </cfRule>
    <cfRule type="expression" dxfId="918" priority="183">
      <formula>$B$4="Lactate Tolerance"</formula>
    </cfRule>
    <cfRule type="expression" dxfId="917" priority="182">
      <formula>$B$4="VO2 Max"</formula>
    </cfRule>
    <cfRule type="expression" dxfId="916" priority="181">
      <formula>$B$4="Threshold"</formula>
    </cfRule>
    <cfRule type="expression" dxfId="915" priority="180">
      <formula>$B$4="Turnover and Pace Work"</formula>
    </cfRule>
    <cfRule type="expression" dxfId="914" priority="179">
      <formula>$B$4="Aerobic Running"</formula>
    </cfRule>
    <cfRule type="expression" dxfId="913" priority="178">
      <formula>$B$4="Stretching and Mobility"</formula>
    </cfRule>
    <cfRule type="expression" dxfId="912" priority="177">
      <formula>$B$4="Recovery"</formula>
    </cfRule>
  </conditionalFormatting>
  <conditionalFormatting sqref="A5:F5">
    <cfRule type="expression" dxfId="911" priority="176">
      <formula>$B$5="Speed Development"</formula>
    </cfRule>
    <cfRule type="expression" dxfId="910" priority="175">
      <formula>$B$5="Lactate Tolerance"</formula>
    </cfRule>
    <cfRule type="expression" dxfId="909" priority="174">
      <formula>$B$5="VO2 Max"</formula>
    </cfRule>
    <cfRule type="expression" dxfId="908" priority="173">
      <formula>$B$5="Threshold"</formula>
    </cfRule>
    <cfRule type="expression" dxfId="907" priority="172">
      <formula>$B$5="Turnover and Pace Work"</formula>
    </cfRule>
    <cfRule type="expression" dxfId="906" priority="171">
      <formula>$B$5="Aerobic Running"</formula>
    </cfRule>
    <cfRule type="expression" dxfId="905" priority="170">
      <formula>$B$5="Stretching and Mobility"</formula>
    </cfRule>
    <cfRule type="expression" dxfId="904" priority="169">
      <formula>$B$5="Recovery"</formula>
    </cfRule>
  </conditionalFormatting>
  <conditionalFormatting sqref="A6:F6">
    <cfRule type="expression" dxfId="903" priority="164">
      <formula>$B$6="Turnover and Pace Work"</formula>
    </cfRule>
    <cfRule type="expression" dxfId="902" priority="167">
      <formula>$B$6="Lactate Tolerance"</formula>
    </cfRule>
    <cfRule type="expression" dxfId="901" priority="166">
      <formula>$B$6="VO2 Max"</formula>
    </cfRule>
    <cfRule type="expression" dxfId="900" priority="165">
      <formula>$B$6="Threshold"</formula>
    </cfRule>
    <cfRule type="expression" dxfId="899" priority="168">
      <formula>$B$6="Speed Development"</formula>
    </cfRule>
    <cfRule type="expression" dxfId="898" priority="163">
      <formula>$B$6="Aerobic Running"</formula>
    </cfRule>
    <cfRule type="expression" dxfId="897" priority="162">
      <formula>$B$6="Stretching and Mobility"</formula>
    </cfRule>
    <cfRule type="expression" dxfId="896" priority="161">
      <formula>$B$6="Recovery"</formula>
    </cfRule>
  </conditionalFormatting>
  <conditionalFormatting sqref="A7:F7">
    <cfRule type="expression" dxfId="895" priority="160">
      <formula>$B$7="Speed Development"</formula>
    </cfRule>
    <cfRule type="expression" dxfId="894" priority="159">
      <formula>$B$7="Lactate Tolerance"</formula>
    </cfRule>
    <cfRule type="expression" dxfId="893" priority="158">
      <formula>$B$7="VO2 Max"</formula>
    </cfRule>
    <cfRule type="expression" dxfId="892" priority="157">
      <formula>$B$7="Threshold"</formula>
    </cfRule>
    <cfRule type="expression" dxfId="891" priority="156">
      <formula>$B$7="Turnover and Pace Work"</formula>
    </cfRule>
    <cfRule type="expression" dxfId="890" priority="155">
      <formula>$B$7="Aerobic Running"</formula>
    </cfRule>
    <cfRule type="expression" dxfId="889" priority="154">
      <formula>$B$7="Stretching and Mobility"</formula>
    </cfRule>
    <cfRule type="expression" dxfId="888" priority="153">
      <formula>$B$7="Recovery"</formula>
    </cfRule>
  </conditionalFormatting>
  <conditionalFormatting sqref="A8:F8">
    <cfRule type="expression" dxfId="887" priority="152">
      <formula>$B$8="Speed Development"</formula>
    </cfRule>
    <cfRule type="expression" dxfId="886" priority="151">
      <formula>$B$8="Lactate Tolerance"</formula>
    </cfRule>
    <cfRule type="expression" dxfId="885" priority="150">
      <formula>$B$8="VO2 Max"</formula>
    </cfRule>
    <cfRule type="expression" dxfId="884" priority="149">
      <formula>$B$8="Threshold"</formula>
    </cfRule>
    <cfRule type="expression" dxfId="883" priority="148">
      <formula>$B$8="Turnover and Pace Work"</formula>
    </cfRule>
    <cfRule type="expression" dxfId="882" priority="147">
      <formula>$B$8="Aerobic Running"</formula>
    </cfRule>
    <cfRule type="expression" dxfId="881" priority="146">
      <formula>$B$8="Stretching and Mobility"</formula>
    </cfRule>
    <cfRule type="expression" dxfId="880" priority="145">
      <formula>$B$8="Recovery"</formula>
    </cfRule>
  </conditionalFormatting>
  <conditionalFormatting sqref="A9:F9">
    <cfRule type="expression" dxfId="879" priority="140">
      <formula>$B$9="Turnover and Pace Work"</formula>
    </cfRule>
    <cfRule type="expression" dxfId="878" priority="143">
      <formula>$B$9="Lactate Tolerance"</formula>
    </cfRule>
    <cfRule type="expression" dxfId="877" priority="142">
      <formula>$B$9="VO2 Max"</formula>
    </cfRule>
    <cfRule type="expression" dxfId="876" priority="141">
      <formula>$B$9="Threshold"</formula>
    </cfRule>
    <cfRule type="expression" dxfId="875" priority="144">
      <formula>$B$9="Speed Development"</formula>
    </cfRule>
    <cfRule type="expression" dxfId="874" priority="139">
      <formula>$B$9="Aerobic Running"</formula>
    </cfRule>
    <cfRule type="expression" dxfId="873" priority="138">
      <formula>$B$9="Stretching and Mobility"</formula>
    </cfRule>
    <cfRule type="expression" dxfId="872" priority="137">
      <formula>$B$9="Recovery"</formula>
    </cfRule>
  </conditionalFormatting>
  <conditionalFormatting sqref="A10:F10">
    <cfRule type="expression" dxfId="871" priority="136">
      <formula>$B$10="Speed Development"</formula>
    </cfRule>
    <cfRule type="expression" dxfId="870" priority="135">
      <formula>$B$10="Lactate Tolerance"</formula>
    </cfRule>
    <cfRule type="expression" dxfId="869" priority="134">
      <formula>$B$10="VO2 Max"</formula>
    </cfRule>
    <cfRule type="expression" dxfId="868" priority="133">
      <formula>$B$10="Threshold"</formula>
    </cfRule>
    <cfRule type="expression" dxfId="867" priority="132">
      <formula>$B$10="Turnover and Pace Work"</formula>
    </cfRule>
    <cfRule type="expression" dxfId="866" priority="131">
      <formula>$B$10="Aerobic Running"</formula>
    </cfRule>
    <cfRule type="expression" dxfId="865" priority="130">
      <formula>$B$10="Stretching and Mobility"</formula>
    </cfRule>
    <cfRule type="expression" dxfId="864" priority="129">
      <formula>$B$10="Recovery"</formula>
    </cfRule>
  </conditionalFormatting>
  <conditionalFormatting sqref="A11:F11">
    <cfRule type="expression" dxfId="863" priority="128">
      <formula>$B$11="Speed Development"</formula>
    </cfRule>
    <cfRule type="expression" dxfId="862" priority="127">
      <formula>$B$11="Lactate Tolerance"</formula>
    </cfRule>
    <cfRule type="expression" dxfId="861" priority="126">
      <formula>$B$11="VO2 Max"</formula>
    </cfRule>
    <cfRule type="expression" dxfId="860" priority="125">
      <formula>$B$11="Threshold"</formula>
    </cfRule>
    <cfRule type="expression" dxfId="859" priority="124">
      <formula>$B$11="Turnover and Pace Work"</formula>
    </cfRule>
    <cfRule type="expression" dxfId="858" priority="123">
      <formula>$B$11="Aerobic Running"</formula>
    </cfRule>
    <cfRule type="expression" dxfId="857" priority="122">
      <formula>$B$11="Stretching and Mobility"</formula>
    </cfRule>
    <cfRule type="expression" dxfId="856" priority="121">
      <formula>$B$11="Recovery"</formula>
    </cfRule>
  </conditionalFormatting>
  <conditionalFormatting sqref="A12:F12">
    <cfRule type="expression" dxfId="855" priority="120">
      <formula>$B$12="Speed Development"</formula>
    </cfRule>
    <cfRule type="expression" dxfId="854" priority="119">
      <formula>$B$12="Lactate Tolerance"</formula>
    </cfRule>
    <cfRule type="expression" dxfId="853" priority="118">
      <formula>$B$12="VO2 Max"</formula>
    </cfRule>
    <cfRule type="expression" dxfId="852" priority="117">
      <formula>$B$12="Threshold"</formula>
    </cfRule>
    <cfRule type="expression" dxfId="851" priority="116">
      <formula>$B$12="Turnover and Pace Work"</formula>
    </cfRule>
    <cfRule type="expression" dxfId="850" priority="115">
      <formula>$B$12="Aerobic Running"</formula>
    </cfRule>
    <cfRule type="expression" dxfId="849" priority="114">
      <formula>$B$12="Stretching and Mobility"</formula>
    </cfRule>
    <cfRule type="expression" dxfId="848" priority="113">
      <formula>$B$12="Recovery"</formula>
    </cfRule>
  </conditionalFormatting>
  <conditionalFormatting sqref="A13:F13">
    <cfRule type="expression" dxfId="847" priority="112">
      <formula>$B$13="Speed Development"</formula>
    </cfRule>
    <cfRule type="expression" dxfId="846" priority="111">
      <formula>$B$13="Lactate Tolerance"</formula>
    </cfRule>
    <cfRule type="expression" dxfId="845" priority="110">
      <formula>$B$13="VO2 Max"</formula>
    </cfRule>
    <cfRule type="expression" dxfId="844" priority="109">
      <formula>$B$13="Threshold"</formula>
    </cfRule>
    <cfRule type="expression" dxfId="843" priority="108">
      <formula>$B$13="Turnover and Pace Work"</formula>
    </cfRule>
    <cfRule type="expression" dxfId="842" priority="107">
      <formula>$B$13="Aerobic Running"</formula>
    </cfRule>
    <cfRule type="expression" dxfId="841" priority="106">
      <formula>$B$13="Stretching and Mobility"</formula>
    </cfRule>
    <cfRule type="expression" dxfId="840" priority="105">
      <formula>$B$13="Recovery"</formula>
    </cfRule>
  </conditionalFormatting>
  <conditionalFormatting sqref="A14:F14">
    <cfRule type="expression" dxfId="839" priority="104">
      <formula>$B$14="Speed Development"</formula>
    </cfRule>
    <cfRule type="expression" dxfId="838" priority="103">
      <formula>$B$14="Lactate Tolerance"</formula>
    </cfRule>
    <cfRule type="expression" dxfId="837" priority="102">
      <formula>$B$14="VO2 Max"</formula>
    </cfRule>
    <cfRule type="expression" dxfId="836" priority="101">
      <formula>$B$14="Threshold"</formula>
    </cfRule>
    <cfRule type="expression" dxfId="835" priority="100">
      <formula>$B$14="Turnover and Pace Work"</formula>
    </cfRule>
    <cfRule type="expression" dxfId="834" priority="99">
      <formula>$B$14="Aerobic Running"</formula>
    </cfRule>
    <cfRule type="expression" dxfId="833" priority="98">
      <formula>$B$14="Stretching and Mobility"</formula>
    </cfRule>
    <cfRule type="expression" dxfId="832" priority="97">
      <formula>$B$14="Recovery"</formula>
    </cfRule>
  </conditionalFormatting>
  <conditionalFormatting sqref="A15:F15">
    <cfRule type="expression" dxfId="831" priority="93">
      <formula>$B$15="Threshold"</formula>
    </cfRule>
    <cfRule type="expression" dxfId="830" priority="90">
      <formula>$B$15="Stretching and Mobility"</formula>
    </cfRule>
    <cfRule type="expression" dxfId="829" priority="91">
      <formula>$B$15="Aerobic Running"</formula>
    </cfRule>
    <cfRule type="expression" dxfId="828" priority="92">
      <formula>$B$15="Turnover and Pace Work"</formula>
    </cfRule>
    <cfRule type="expression" dxfId="827" priority="89">
      <formula>$B$15="Recovery"</formula>
    </cfRule>
    <cfRule type="expression" dxfId="826" priority="94">
      <formula>$B$15="VO2 Max"</formula>
    </cfRule>
    <cfRule type="expression" dxfId="825" priority="95">
      <formula>$B$15="Lactate Tolerance"</formula>
    </cfRule>
    <cfRule type="expression" dxfId="824" priority="96">
      <formula>$B$15="Speed Development"</formula>
    </cfRule>
  </conditionalFormatting>
  <conditionalFormatting sqref="A16:F16">
    <cfRule type="expression" dxfId="823" priority="88">
      <formula>$B$16="Speed Development"</formula>
    </cfRule>
    <cfRule type="expression" dxfId="822" priority="87">
      <formula>$B$16="Lactate Tolerance"</formula>
    </cfRule>
    <cfRule type="expression" dxfId="821" priority="86">
      <formula>$B$16="VO2 Max"</formula>
    </cfRule>
    <cfRule type="expression" dxfId="820" priority="85">
      <formula>$B$16="Threshold"</formula>
    </cfRule>
    <cfRule type="expression" dxfId="819" priority="84">
      <formula>$B$16="Turnover and Pace Work"</formula>
    </cfRule>
    <cfRule type="expression" dxfId="818" priority="83">
      <formula>$B$16="Aerobic Running"</formula>
    </cfRule>
    <cfRule type="expression" dxfId="817" priority="82">
      <formula>$B$16="Stretching and Mobility"</formula>
    </cfRule>
    <cfRule type="expression" dxfId="816" priority="81">
      <formula>$B$16="Recovery"</formula>
    </cfRule>
  </conditionalFormatting>
  <conditionalFormatting sqref="A17:F17">
    <cfRule type="expression" dxfId="815" priority="80">
      <formula>$B$17="Speed Development"</formula>
    </cfRule>
    <cfRule type="expression" dxfId="814" priority="79">
      <formula>$B$17="Lactate Tolerance"</formula>
    </cfRule>
    <cfRule type="expression" dxfId="813" priority="78">
      <formula>$B$17="VO2 Max"</formula>
    </cfRule>
    <cfRule type="expression" dxfId="812" priority="77">
      <formula>$B$17="Threshold"</formula>
    </cfRule>
    <cfRule type="expression" dxfId="811" priority="76">
      <formula>$B$17="Turnover and Pace Work"</formula>
    </cfRule>
    <cfRule type="expression" dxfId="810" priority="75">
      <formula>$B$17="Aerobic Running"</formula>
    </cfRule>
    <cfRule type="expression" dxfId="809" priority="74">
      <formula>$B$17="Stretching and Mobility"</formula>
    </cfRule>
    <cfRule type="expression" dxfId="808" priority="73">
      <formula>$B$17="Recovery"</formula>
    </cfRule>
  </conditionalFormatting>
  <conditionalFormatting sqref="A18:F18">
    <cfRule type="expression" dxfId="807" priority="72">
      <formula>$B$18="Speed Development"</formula>
    </cfRule>
    <cfRule type="expression" dxfId="806" priority="71">
      <formula>$B$18="Lactate Tolerance"</formula>
    </cfRule>
    <cfRule type="expression" dxfId="805" priority="70">
      <formula>$B$18="VO2 Max"</formula>
    </cfRule>
    <cfRule type="expression" dxfId="804" priority="69">
      <formula>$B$18="Threshold"</formula>
    </cfRule>
    <cfRule type="expression" dxfId="803" priority="68">
      <formula>$B$18="Turnover and Pace Work"</formula>
    </cfRule>
    <cfRule type="expression" dxfId="802" priority="67">
      <formula>$B$18="Aerobic Running"</formula>
    </cfRule>
    <cfRule type="expression" dxfId="801" priority="66">
      <formula>$B$18="Stretching and Mobility"</formula>
    </cfRule>
    <cfRule type="expression" dxfId="800" priority="65">
      <formula>$B$18="Recovery"</formula>
    </cfRule>
  </conditionalFormatting>
  <conditionalFormatting sqref="A19:F19">
    <cfRule type="expression" dxfId="799" priority="64">
      <formula>$B$19="Speed Development"</formula>
    </cfRule>
    <cfRule type="expression" dxfId="798" priority="63">
      <formula>$B$19="Lactate Tolerance"</formula>
    </cfRule>
    <cfRule type="expression" dxfId="797" priority="62">
      <formula>$B$19="VO2 Max"</formula>
    </cfRule>
    <cfRule type="expression" dxfId="796" priority="61">
      <formula>$B$19="Threshold"</formula>
    </cfRule>
    <cfRule type="expression" dxfId="795" priority="60">
      <formula>$B$19="Turnover and Pace Work"</formula>
    </cfRule>
    <cfRule type="expression" dxfId="794" priority="59">
      <formula>$B$19="Aerobic Running"</formula>
    </cfRule>
    <cfRule type="expression" dxfId="793" priority="58">
      <formula>$B$19="Stretching and Mobility"</formula>
    </cfRule>
    <cfRule type="expression" dxfId="792" priority="57">
      <formula>$B$19="Recovery"</formula>
    </cfRule>
  </conditionalFormatting>
  <conditionalFormatting sqref="A20:F20">
    <cfRule type="expression" dxfId="791" priority="56">
      <formula>$B$20="Speed Development"</formula>
    </cfRule>
    <cfRule type="expression" dxfId="790" priority="55">
      <formula>$B$20="Lactate Tolerance"</formula>
    </cfRule>
    <cfRule type="expression" dxfId="789" priority="54">
      <formula>$B$20="VO2 Max"</formula>
    </cfRule>
    <cfRule type="expression" dxfId="788" priority="53">
      <formula>$B$20="Threshold"</formula>
    </cfRule>
    <cfRule type="expression" dxfId="787" priority="52">
      <formula>$B$20="Turnover and Pace Work"</formula>
    </cfRule>
    <cfRule type="expression" dxfId="786" priority="51">
      <formula>$B$20="Aerobic Running"</formula>
    </cfRule>
    <cfRule type="expression" dxfId="785" priority="50">
      <formula>$B$20="Stretching and Mobility"</formula>
    </cfRule>
    <cfRule type="expression" dxfId="784" priority="49">
      <formula>$B$20="Recovery"</formula>
    </cfRule>
  </conditionalFormatting>
  <conditionalFormatting sqref="A21:F21">
    <cfRule type="expression" dxfId="783" priority="48">
      <formula>$B$21="Speed Development"</formula>
    </cfRule>
    <cfRule type="expression" dxfId="782" priority="47">
      <formula>$B$21="Lactate Tolerance"</formula>
    </cfRule>
    <cfRule type="expression" dxfId="781" priority="46">
      <formula>$B$21="VO2 Max"</formula>
    </cfRule>
    <cfRule type="expression" dxfId="780" priority="45">
      <formula>$B$21="Threshold"</formula>
    </cfRule>
    <cfRule type="expression" dxfId="779" priority="44">
      <formula>$B$21="Turnover and Pace Work"</formula>
    </cfRule>
    <cfRule type="expression" dxfId="778" priority="43">
      <formula>$B$21="Aerobic Running"</formula>
    </cfRule>
    <cfRule type="expression" dxfId="777" priority="42">
      <formula>$B$21="Stretching and Mobility"</formula>
    </cfRule>
    <cfRule type="expression" dxfId="776" priority="41">
      <formula>$B$21="Recovery"</formula>
    </cfRule>
  </conditionalFormatting>
  <conditionalFormatting sqref="A22:F22">
    <cfRule type="expression" dxfId="775" priority="40">
      <formula>$B$22="Speed Development"</formula>
    </cfRule>
    <cfRule type="expression" dxfId="774" priority="39">
      <formula>$B$22="Lactate Tolerance"</formula>
    </cfRule>
    <cfRule type="expression" dxfId="773" priority="38">
      <formula>$B$22="VO2 Max"</formula>
    </cfRule>
    <cfRule type="expression" dxfId="772" priority="37">
      <formula>$B$22="Threshold"</formula>
    </cfRule>
    <cfRule type="expression" dxfId="771" priority="36">
      <formula>$B$22="Turnover and Pace Work"</formula>
    </cfRule>
    <cfRule type="expression" dxfId="770" priority="35">
      <formula>$B$22="Aerobic Running"</formula>
    </cfRule>
    <cfRule type="expression" dxfId="769" priority="34">
      <formula>$B$22="Stretching and Mobility"</formula>
    </cfRule>
    <cfRule type="expression" dxfId="768" priority="33">
      <formula>$B$22="Recovery"</formula>
    </cfRule>
  </conditionalFormatting>
  <conditionalFormatting sqref="A23:F23">
    <cfRule type="expression" dxfId="767" priority="32">
      <formula>$B$23="Speed Development"</formula>
    </cfRule>
    <cfRule type="expression" dxfId="766" priority="31">
      <formula>$B$23="Lactate Tolerance"</formula>
    </cfRule>
    <cfRule type="expression" dxfId="765" priority="30">
      <formula>$B$23="VO2 Max"</formula>
    </cfRule>
    <cfRule type="expression" dxfId="764" priority="29">
      <formula>$B$23="Threshold"</formula>
    </cfRule>
    <cfRule type="expression" dxfId="763" priority="28">
      <formula>$B$23="Turnover and Pace Work"</formula>
    </cfRule>
    <cfRule type="expression" dxfId="762" priority="27">
      <formula>$B$23="Aerobic Running"</formula>
    </cfRule>
    <cfRule type="expression" dxfId="761" priority="26">
      <formula>$B$23="Stretching and Mobility"</formula>
    </cfRule>
    <cfRule type="expression" dxfId="760" priority="25">
      <formula>$B$23="Recovery"</formula>
    </cfRule>
  </conditionalFormatting>
  <conditionalFormatting sqref="A24:F24">
    <cfRule type="expression" dxfId="759" priority="24">
      <formula>$B$24="Speed Development"</formula>
    </cfRule>
    <cfRule type="expression" dxfId="758" priority="23">
      <formula>$B$24="Lactate Tolerance"</formula>
    </cfRule>
    <cfRule type="expression" dxfId="757" priority="22">
      <formula>$B$24="VO2 Max"</formula>
    </cfRule>
    <cfRule type="expression" dxfId="756" priority="21">
      <formula>$B$24="Threshold"</formula>
    </cfRule>
    <cfRule type="expression" dxfId="755" priority="20">
      <formula>$B$24="Turnover and Pace Work"</formula>
    </cfRule>
    <cfRule type="expression" dxfId="754" priority="19">
      <formula>$B$24="Aerobic Running"</formula>
    </cfRule>
    <cfRule type="expression" dxfId="753" priority="18">
      <formula>$B$24="Stretching and Mobility"</formula>
    </cfRule>
    <cfRule type="expression" dxfId="752" priority="17">
      <formula>$B$24="Recovery"</formula>
    </cfRule>
  </conditionalFormatting>
  <conditionalFormatting sqref="A25:F25">
    <cfRule type="expression" dxfId="751" priority="16">
      <formula>$B$25="Speed Development"</formula>
    </cfRule>
    <cfRule type="expression" dxfId="750" priority="15">
      <formula>$B$25="Lactate Tolerance"</formula>
    </cfRule>
    <cfRule type="expression" dxfId="749" priority="14">
      <formula>$B$25="VO2 Max"</formula>
    </cfRule>
    <cfRule type="expression" dxfId="748" priority="13">
      <formula>$B$25="Threshold"</formula>
    </cfRule>
    <cfRule type="expression" dxfId="747" priority="12">
      <formula>$B$25="Turnover and Pace Work"</formula>
    </cfRule>
    <cfRule type="expression" dxfId="746" priority="11">
      <formula>$B$25="Aerobic Running"</formula>
    </cfRule>
    <cfRule type="expression" dxfId="745" priority="10">
      <formula>$B$25="Stretching and Mobility"</formula>
    </cfRule>
    <cfRule type="expression" dxfId="744" priority="9">
      <formula>$B$25="Recovery"</formula>
    </cfRule>
  </conditionalFormatting>
  <conditionalFormatting sqref="A26:F26">
    <cfRule type="expression" dxfId="743" priority="8">
      <formula>$B$26="Speed Development"</formula>
    </cfRule>
    <cfRule type="expression" dxfId="742" priority="7">
      <formula>$B$26="Lactate Tolerance"</formula>
    </cfRule>
    <cfRule type="expression" dxfId="741" priority="6">
      <formula>$B$26="VO2 Max"</formula>
    </cfRule>
    <cfRule type="expression" dxfId="740" priority="5">
      <formula>$B$26="Threshold"</formula>
    </cfRule>
    <cfRule type="expression" dxfId="739" priority="4">
      <formula>$B$26="Turnover and Pace Work"</formula>
    </cfRule>
    <cfRule type="expression" dxfId="738" priority="3">
      <formula>$B$26="Aerobic Running"</formula>
    </cfRule>
    <cfRule type="expression" dxfId="737" priority="2">
      <formula>$B$26="Stretching and Mobility"</formula>
    </cfRule>
    <cfRule type="expression" dxfId="736"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 type="list" allowBlank="1" showInputMessage="1" showErrorMessage="1" xr:uid="{29C30560-7250-5A48-8F56-DBDD72F79E69}">
          <x14:formula1>
            <xm:f>Data!$F$2:$F$50</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topLeftCell="C1" zoomScale="140" zoomScaleNormal="140" workbookViewId="0">
      <selection activeCell="E7" sqref="E7:F7"/>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85</v>
      </c>
      <c r="B1" s="21">
        <v>45686</v>
      </c>
      <c r="C1" s="20" t="s">
        <v>114</v>
      </c>
      <c r="D1" s="20" t="s">
        <v>61</v>
      </c>
      <c r="E1" s="92" t="s">
        <v>60</v>
      </c>
      <c r="F1" s="92"/>
      <c r="G1" s="90" t="s">
        <v>53</v>
      </c>
      <c r="H1" s="91"/>
      <c r="I1" s="91"/>
      <c r="J1" s="91"/>
      <c r="L1" s="25" t="s">
        <v>39</v>
      </c>
      <c r="M1" s="86" t="s">
        <v>11</v>
      </c>
      <c r="N1" s="86"/>
      <c r="O1" s="86"/>
      <c r="P1" s="86"/>
      <c r="Q1" s="86" t="s">
        <v>12</v>
      </c>
      <c r="R1" s="86"/>
      <c r="S1" s="86"/>
      <c r="T1" s="86"/>
    </row>
    <row r="2" spans="1:20" ht="17">
      <c r="A2" s="82" t="s">
        <v>16</v>
      </c>
      <c r="B2" s="82" t="s">
        <v>40</v>
      </c>
      <c r="C2" s="82" t="s">
        <v>54</v>
      </c>
      <c r="D2" s="82" t="s">
        <v>62</v>
      </c>
      <c r="E2" s="84" t="s">
        <v>13</v>
      </c>
      <c r="F2" s="84"/>
      <c r="G2" s="86" t="s">
        <v>47</v>
      </c>
      <c r="H2" s="86"/>
      <c r="I2" s="86" t="s">
        <v>46</v>
      </c>
      <c r="J2" s="86"/>
      <c r="K2" s="83"/>
      <c r="L2" s="26"/>
      <c r="M2" s="89" t="s">
        <v>77</v>
      </c>
      <c r="N2" s="89"/>
      <c r="O2" s="89"/>
      <c r="P2" s="89"/>
      <c r="Q2" s="88" t="s">
        <v>78</v>
      </c>
      <c r="R2" s="88"/>
      <c r="S2" s="88"/>
      <c r="T2" s="88"/>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19</v>
      </c>
      <c r="B4" s="6" t="str">
        <f>_xlfn.XLOOKUP(A4,TrainingTable[Training Component],TrainingTable[Category of Training Stimulus],"")</f>
        <v>Stretching and Mobility</v>
      </c>
      <c r="C4" s="6" t="s">
        <v>55</v>
      </c>
      <c r="D4" s="6" t="s">
        <v>67</v>
      </c>
      <c r="E4" s="85" t="s">
        <v>86</v>
      </c>
      <c r="F4" s="85"/>
      <c r="G4" s="23">
        <v>4</v>
      </c>
      <c r="H4" s="23">
        <v>5</v>
      </c>
      <c r="I4" s="23">
        <v>0.5</v>
      </c>
      <c r="J4" s="23">
        <v>0.5</v>
      </c>
      <c r="K4" s="2"/>
      <c r="L4" s="27" t="s">
        <v>76</v>
      </c>
      <c r="M4" s="28">
        <f>SUMIF($B$4:$B$26,"Aerobic Running",G4:G26)</f>
        <v>20</v>
      </c>
      <c r="N4" s="28">
        <f>SUMIF($B$4:$B$26,"Aerobic Running",H4:H26)</f>
        <v>60</v>
      </c>
      <c r="O4" s="39">
        <f t="shared" ref="O4:O9" si="0">M4/$M$10</f>
        <v>0.90909090909090906</v>
      </c>
      <c r="P4" s="39">
        <f t="shared" ref="P4:P10" si="1">N4/$N$10</f>
        <v>0.967741935483871</v>
      </c>
      <c r="Q4" s="28">
        <f>SUMIF($B$4:$B$26,"Aerobic Running",I4:I26)</f>
        <v>2</v>
      </c>
      <c r="R4" s="28">
        <f>SUMIF($B$4:$B$26,"Aerobic Running",J4:J26)</f>
        <v>8</v>
      </c>
      <c r="S4" s="39">
        <f>Q4/$Q$10</f>
        <v>0.76923076923076916</v>
      </c>
      <c r="T4" s="39">
        <f>R4/$R$10</f>
        <v>0.93023255813953487</v>
      </c>
    </row>
    <row r="5" spans="1:20" ht="50" customHeight="1">
      <c r="A5" s="6" t="s">
        <v>0</v>
      </c>
      <c r="B5" s="6" t="str">
        <f>_xlfn.XLOOKUP(A5,TrainingTable[Training Component],TrainingTable[Category of Training Stimulus],"")</f>
        <v>Aerobic Running</v>
      </c>
      <c r="C5" s="6" t="s">
        <v>55</v>
      </c>
      <c r="D5" s="6" t="s">
        <v>67</v>
      </c>
      <c r="E5" s="85" t="s">
        <v>87</v>
      </c>
      <c r="F5" s="85"/>
      <c r="G5" s="23">
        <v>20</v>
      </c>
      <c r="H5" s="23">
        <v>60</v>
      </c>
      <c r="I5" s="23">
        <v>2</v>
      </c>
      <c r="J5" s="23">
        <v>8</v>
      </c>
      <c r="K5" s="2"/>
      <c r="L5" s="29" t="s">
        <v>34</v>
      </c>
      <c r="M5" s="30">
        <f>SUMIF($B$4:$B$26,"Turnover and Pace Work",G4:G26)</f>
        <v>2</v>
      </c>
      <c r="N5" s="30">
        <f>SUMIF($B$4:$B$26,"Turnover and Pace Work",H4:H26)</f>
        <v>2</v>
      </c>
      <c r="O5" s="40">
        <f t="shared" si="0"/>
        <v>9.0909090909090912E-2</v>
      </c>
      <c r="P5" s="40">
        <f t="shared" si="1"/>
        <v>3.2258064516129031E-2</v>
      </c>
      <c r="Q5" s="30">
        <f>SUMIF($B$4:$B$26,"Turnover and Pace Work",I4:I26)</f>
        <v>0.6</v>
      </c>
      <c r="R5" s="30">
        <f>SUMIF($B$4:$B$26,"Turnover and Pace Work",J4:J26)</f>
        <v>0.6</v>
      </c>
      <c r="S5" s="40">
        <f t="shared" ref="S5:S10" si="2">Q5/$Q$10</f>
        <v>0.23076923076923075</v>
      </c>
      <c r="T5" s="40">
        <f t="shared" ref="T5:T10" si="3">R5/$R$10</f>
        <v>6.9767441860465115E-2</v>
      </c>
    </row>
    <row r="6" spans="1:20" ht="50" customHeight="1">
      <c r="A6" s="6" t="s">
        <v>42</v>
      </c>
      <c r="B6" s="6" t="str">
        <f>_xlfn.XLOOKUP(A6,TrainingTable[Training Component],TrainingTable[Category of Training Stimulus],"")</f>
        <v>Turnover and Pace Work</v>
      </c>
      <c r="C6" s="6" t="s">
        <v>55</v>
      </c>
      <c r="D6" s="6" t="s">
        <v>67</v>
      </c>
      <c r="E6" s="85" t="s">
        <v>190</v>
      </c>
      <c r="F6" s="85"/>
      <c r="G6" s="23">
        <v>2</v>
      </c>
      <c r="H6" s="23">
        <v>2</v>
      </c>
      <c r="I6" s="23">
        <v>0.6</v>
      </c>
      <c r="J6" s="23">
        <v>0.6</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t="s">
        <v>57</v>
      </c>
      <c r="D7" s="6" t="s">
        <v>57</v>
      </c>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t="s">
        <v>57</v>
      </c>
      <c r="D8" s="6" t="s">
        <v>57</v>
      </c>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t="s">
        <v>57</v>
      </c>
      <c r="D9" s="6" t="s">
        <v>57</v>
      </c>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5"/>
      <c r="F10" s="85"/>
      <c r="G10" s="23"/>
      <c r="H10" s="23"/>
      <c r="I10" s="23"/>
      <c r="J10" s="23"/>
      <c r="K10" s="2"/>
      <c r="L10" s="46" t="s">
        <v>79</v>
      </c>
      <c r="M10" s="23">
        <f>SUM(M4:M9)</f>
        <v>22</v>
      </c>
      <c r="N10" s="23">
        <f>SUM(N4:N9)</f>
        <v>62</v>
      </c>
      <c r="O10" s="47">
        <f>M10/M10</f>
        <v>1</v>
      </c>
      <c r="P10" s="45">
        <f t="shared" si="1"/>
        <v>1</v>
      </c>
      <c r="Q10" s="23">
        <f>SUM(Q4:Q9)</f>
        <v>2.6</v>
      </c>
      <c r="R10" s="23">
        <f>SUM(R4:R9)</f>
        <v>8.6</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topLeftCell="C1" zoomScale="140" zoomScaleNormal="140" workbookViewId="0">
      <selection activeCell="J5" sqref="J5"/>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88</v>
      </c>
      <c r="B1" s="21">
        <v>45687</v>
      </c>
      <c r="C1" s="20" t="s">
        <v>112</v>
      </c>
      <c r="D1" s="20" t="s">
        <v>61</v>
      </c>
      <c r="E1" s="92" t="s">
        <v>60</v>
      </c>
      <c r="F1" s="92"/>
      <c r="G1" s="90" t="s">
        <v>53</v>
      </c>
      <c r="H1" s="91"/>
      <c r="I1" s="91"/>
      <c r="J1" s="91"/>
      <c r="L1" s="25" t="s">
        <v>39</v>
      </c>
      <c r="M1" s="86" t="s">
        <v>11</v>
      </c>
      <c r="N1" s="86"/>
      <c r="O1" s="86"/>
      <c r="P1" s="86"/>
      <c r="Q1" s="86" t="s">
        <v>12</v>
      </c>
      <c r="R1" s="86"/>
      <c r="S1" s="86"/>
      <c r="T1" s="86"/>
    </row>
    <row r="2" spans="1:20" ht="17">
      <c r="A2" s="82" t="s">
        <v>16</v>
      </c>
      <c r="B2" s="82" t="s">
        <v>40</v>
      </c>
      <c r="C2" s="82" t="s">
        <v>54</v>
      </c>
      <c r="D2" s="82" t="s">
        <v>62</v>
      </c>
      <c r="E2" s="84" t="s">
        <v>13</v>
      </c>
      <c r="F2" s="84"/>
      <c r="G2" s="86" t="s">
        <v>47</v>
      </c>
      <c r="H2" s="86"/>
      <c r="I2" s="86" t="s">
        <v>46</v>
      </c>
      <c r="J2" s="86"/>
      <c r="K2" s="83"/>
      <c r="L2" s="26"/>
      <c r="M2" s="89" t="s">
        <v>77</v>
      </c>
      <c r="N2" s="89"/>
      <c r="O2" s="89"/>
      <c r="P2" s="89"/>
      <c r="Q2" s="88" t="s">
        <v>78</v>
      </c>
      <c r="R2" s="88"/>
      <c r="S2" s="88"/>
      <c r="T2" s="88"/>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5" t="s">
        <v>204</v>
      </c>
      <c r="F4" s="85"/>
      <c r="G4" s="23">
        <v>4</v>
      </c>
      <c r="H4" s="23">
        <v>5</v>
      </c>
      <c r="I4" s="23">
        <v>0.5</v>
      </c>
      <c r="J4" s="23">
        <v>0.75</v>
      </c>
      <c r="K4" s="2"/>
      <c r="L4" s="27" t="s">
        <v>76</v>
      </c>
      <c r="M4" s="28">
        <f>SUMIF($B$4:$B$26,"Aerobic Running",G4:G26)</f>
        <v>9</v>
      </c>
      <c r="N4" s="28">
        <f>SUMIF($B$4:$B$26,"Aerobic Running",H4:H26)</f>
        <v>20</v>
      </c>
      <c r="O4" s="39">
        <f t="shared" ref="O4:O9" si="0">M4/$M$10</f>
        <v>0.29508196721311475</v>
      </c>
      <c r="P4" s="39">
        <f t="shared" ref="P4:P10" si="1">N4/$N$10</f>
        <v>0.42105263157894735</v>
      </c>
      <c r="Q4" s="28">
        <f>SUMIF($B$4:$B$26,"Aerobic Running",I4:I26)</f>
        <v>1</v>
      </c>
      <c r="R4" s="28">
        <f>SUMIF($B$4:$B$26,"Aerobic Running",J4:J26)</f>
        <v>2.75</v>
      </c>
      <c r="S4" s="39">
        <f>Q4/$Q$10</f>
        <v>0.32786885245901637</v>
      </c>
      <c r="T4" s="39">
        <f>R4/$R$10</f>
        <v>0.41044776119402987</v>
      </c>
    </row>
    <row r="5" spans="1:20" ht="50" customHeight="1">
      <c r="A5" s="6" t="s">
        <v>19</v>
      </c>
      <c r="B5" s="6" t="str">
        <f>_xlfn.XLOOKUP(A5,TrainingTable[Training Component],TrainingTable[Category of Training Stimulus],"")</f>
        <v>Stretching and Mobility</v>
      </c>
      <c r="C5" s="6" t="s">
        <v>55</v>
      </c>
      <c r="D5" s="6" t="s">
        <v>67</v>
      </c>
      <c r="E5" s="85" t="s">
        <v>70</v>
      </c>
      <c r="F5" s="85"/>
      <c r="G5" s="23">
        <v>5</v>
      </c>
      <c r="H5" s="23">
        <v>8</v>
      </c>
      <c r="I5" s="23">
        <v>0</v>
      </c>
      <c r="J5" s="23">
        <v>0</v>
      </c>
      <c r="K5" s="2"/>
      <c r="L5" s="29" t="s">
        <v>34</v>
      </c>
      <c r="M5" s="30">
        <f>SUMIF($B$4:$B$26,"Turnover and Pace Work",G4:G26)</f>
        <v>3</v>
      </c>
      <c r="N5" s="30">
        <f>SUMIF($B$4:$B$26,"Turnover and Pace Work",H4:H26)</f>
        <v>4</v>
      </c>
      <c r="O5" s="40">
        <f t="shared" si="0"/>
        <v>9.8360655737704916E-2</v>
      </c>
      <c r="P5" s="40">
        <f t="shared" si="1"/>
        <v>8.4210526315789472E-2</v>
      </c>
      <c r="Q5" s="30">
        <f>SUMIF($B$4:$B$26,"Turnover and Pace Work",I4:I26)</f>
        <v>0.60000000000000009</v>
      </c>
      <c r="R5" s="30">
        <f>SUMIF($B$4:$B$26,"Turnover and Pace Work",J4:J26)</f>
        <v>0.60000000000000009</v>
      </c>
      <c r="S5" s="40">
        <f t="shared" ref="S5:S10" si="2">Q5/$Q$10</f>
        <v>0.19672131147540986</v>
      </c>
      <c r="T5" s="40">
        <f t="shared" ref="T5:T10" si="3">R5/$R$10</f>
        <v>8.9552238805970172E-2</v>
      </c>
    </row>
    <row r="6" spans="1:20" ht="50" customHeight="1">
      <c r="A6" s="6" t="s">
        <v>43</v>
      </c>
      <c r="B6" s="6" t="str">
        <f>_xlfn.XLOOKUP(A6,TrainingTable[Training Component],TrainingTable[Category of Training Stimulus],"")</f>
        <v>Turnover and Pace Work</v>
      </c>
      <c r="C6" s="6" t="s">
        <v>55</v>
      </c>
      <c r="D6" s="6" t="s">
        <v>68</v>
      </c>
      <c r="E6" s="85" t="s">
        <v>71</v>
      </c>
      <c r="F6" s="85"/>
      <c r="G6" s="23">
        <v>1</v>
      </c>
      <c r="H6" s="23">
        <v>1</v>
      </c>
      <c r="I6" s="23">
        <v>0.2</v>
      </c>
      <c r="J6" s="23">
        <v>0.2</v>
      </c>
      <c r="K6" s="2"/>
      <c r="L6" s="31" t="s">
        <v>22</v>
      </c>
      <c r="M6" s="32">
        <f>SUMIF($B$4:$B$26,"Threshold",G4:G26)</f>
        <v>8</v>
      </c>
      <c r="N6" s="32">
        <f>SUMIF($B$4:$B$26,"Threshold",H4:H26)</f>
        <v>15</v>
      </c>
      <c r="O6" s="41">
        <f t="shared" si="0"/>
        <v>0.26229508196721313</v>
      </c>
      <c r="P6" s="41">
        <f t="shared" si="1"/>
        <v>0.31578947368421051</v>
      </c>
      <c r="Q6" s="32">
        <f>SUMIF($B$4:$B$26,"Threshold",I4:I26)</f>
        <v>0.75</v>
      </c>
      <c r="R6" s="32">
        <f>SUMIF($B$4:$B$26,"Threshold",J4:J26)</f>
        <v>2</v>
      </c>
      <c r="S6" s="41">
        <f t="shared" si="2"/>
        <v>0.24590163934426226</v>
      </c>
      <c r="T6" s="41">
        <f t="shared" si="3"/>
        <v>0.29850746268656719</v>
      </c>
    </row>
    <row r="7" spans="1:20" ht="50" customHeight="1">
      <c r="A7" s="6" t="s">
        <v>49</v>
      </c>
      <c r="B7" s="6" t="str">
        <f>_xlfn.XLOOKUP(A7,TrainingTable[Training Component],TrainingTable[Category of Training Stimulus],"")</f>
        <v>Recovery</v>
      </c>
      <c r="C7" s="6" t="s">
        <v>57</v>
      </c>
      <c r="D7" s="6" t="s">
        <v>57</v>
      </c>
      <c r="E7" s="85" t="s">
        <v>73</v>
      </c>
      <c r="F7" s="85"/>
      <c r="G7" s="23">
        <v>3</v>
      </c>
      <c r="H7" s="23">
        <v>3</v>
      </c>
      <c r="I7" s="23">
        <v>0</v>
      </c>
      <c r="J7" s="23">
        <v>0</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31</v>
      </c>
      <c r="B8" s="6" t="str">
        <f>_xlfn.XLOOKUP(A8,TrainingTable[Training Component],TrainingTable[Category of Training Stimulus],"")</f>
        <v>Speed Development</v>
      </c>
      <c r="C8" s="6" t="s">
        <v>56</v>
      </c>
      <c r="D8" s="6" t="s">
        <v>64</v>
      </c>
      <c r="E8" s="85" t="s">
        <v>72</v>
      </c>
      <c r="F8" s="85"/>
      <c r="G8" s="23">
        <v>0.5</v>
      </c>
      <c r="H8" s="23">
        <v>0.5</v>
      </c>
      <c r="I8" s="23">
        <v>0.1</v>
      </c>
      <c r="J8" s="23">
        <v>0.1</v>
      </c>
      <c r="K8" s="2"/>
      <c r="L8" s="33" t="s">
        <v>2</v>
      </c>
      <c r="M8" s="34">
        <f>SUMIF($B$4:$B$26,"Lactate Tolerance",G4:G26)</f>
        <v>10</v>
      </c>
      <c r="N8" s="34">
        <f>SUMIF($B$4:$B$26,"Lactate Tolerance",H4:H26)</f>
        <v>8</v>
      </c>
      <c r="O8" s="43">
        <f t="shared" si="0"/>
        <v>0.32786885245901637</v>
      </c>
      <c r="P8" s="43">
        <f t="shared" si="1"/>
        <v>0.16842105263157894</v>
      </c>
      <c r="Q8" s="34">
        <f>SUMIF($B$4:$B$26,"Lactate Tolerance",I4:I26)</f>
        <v>0.6</v>
      </c>
      <c r="R8" s="34">
        <f>SUMIF($B$4:$B$26,"Lactate Tolerance",J4:J26)</f>
        <v>1.25</v>
      </c>
      <c r="S8" s="43">
        <f t="shared" si="2"/>
        <v>0.1967213114754098</v>
      </c>
      <c r="T8" s="43">
        <f t="shared" si="3"/>
        <v>0.18656716417910449</v>
      </c>
    </row>
    <row r="9" spans="1:20" ht="50" customHeight="1">
      <c r="A9" s="6" t="s">
        <v>49</v>
      </c>
      <c r="B9" s="6" t="str">
        <f>_xlfn.XLOOKUP(A9,TrainingTable[Training Component],TrainingTable[Category of Training Stimulus],"")</f>
        <v>Recovery</v>
      </c>
      <c r="C9" s="6" t="s">
        <v>57</v>
      </c>
      <c r="D9" s="6" t="s">
        <v>57</v>
      </c>
      <c r="E9" s="85" t="s">
        <v>195</v>
      </c>
      <c r="F9" s="85"/>
      <c r="G9" s="23">
        <v>3</v>
      </c>
      <c r="H9" s="23">
        <v>3</v>
      </c>
      <c r="I9" s="23">
        <v>0</v>
      </c>
      <c r="J9" s="23">
        <v>0</v>
      </c>
      <c r="K9" s="2"/>
      <c r="L9" s="37" t="s">
        <v>3</v>
      </c>
      <c r="M9" s="38">
        <f>SUMIF($B$4:$B$26,"Speed Development",G4:G26)</f>
        <v>0.5</v>
      </c>
      <c r="N9" s="38">
        <f>SUMIF($B$4:$B$26,"Speed Development",H4:H26)</f>
        <v>0.5</v>
      </c>
      <c r="O9" s="44">
        <f t="shared" si="0"/>
        <v>1.6393442622950821E-2</v>
      </c>
      <c r="P9" s="44">
        <f t="shared" si="1"/>
        <v>1.0526315789473684E-2</v>
      </c>
      <c r="Q9" s="38">
        <f>SUMIF($B$4:$B$26,"Speed Development",I4:I26)</f>
        <v>0.1</v>
      </c>
      <c r="R9" s="38">
        <f>SUMIF($B$4:$B$26,"Speed Development",J4:J26)</f>
        <v>0.1</v>
      </c>
      <c r="S9" s="44">
        <f t="shared" si="2"/>
        <v>3.2786885245901641E-2</v>
      </c>
      <c r="T9" s="44">
        <f t="shared" si="3"/>
        <v>1.4925373134328361E-2</v>
      </c>
    </row>
    <row r="10" spans="1:20" ht="50" customHeight="1">
      <c r="A10" s="6" t="s">
        <v>28</v>
      </c>
      <c r="B10" s="6" t="str">
        <f>_xlfn.XLOOKUP(A10,TrainingTable[Training Component],TrainingTable[Category of Training Stimulus],"")</f>
        <v>Lactate Tolerance</v>
      </c>
      <c r="C10" s="6" t="s">
        <v>56</v>
      </c>
      <c r="D10" s="6" t="s">
        <v>64</v>
      </c>
      <c r="E10" s="93" t="s">
        <v>203</v>
      </c>
      <c r="F10" s="94"/>
      <c r="G10" s="23">
        <v>10</v>
      </c>
      <c r="H10" s="23">
        <v>8</v>
      </c>
      <c r="I10" s="23">
        <v>0.6</v>
      </c>
      <c r="J10" s="23">
        <v>1.25</v>
      </c>
      <c r="K10" s="2"/>
      <c r="L10" s="46" t="s">
        <v>79</v>
      </c>
      <c r="M10" s="23">
        <f>SUM(M4:M9)</f>
        <v>30.5</v>
      </c>
      <c r="N10" s="23">
        <f>SUM(N4:N9)</f>
        <v>47.5</v>
      </c>
      <c r="O10" s="47">
        <f>M10/M10</f>
        <v>1</v>
      </c>
      <c r="P10" s="45">
        <f t="shared" si="1"/>
        <v>1</v>
      </c>
      <c r="Q10" s="23">
        <f>SUM(Q4:Q9)</f>
        <v>3.0500000000000003</v>
      </c>
      <c r="R10" s="23">
        <f>SUM(R4:R9)</f>
        <v>6.6999999999999993</v>
      </c>
      <c r="S10" s="47">
        <f t="shared" si="2"/>
        <v>1</v>
      </c>
      <c r="T10" s="47">
        <f t="shared" si="3"/>
        <v>1</v>
      </c>
    </row>
    <row r="11" spans="1:20" ht="50" customHeight="1">
      <c r="A11" s="6" t="s">
        <v>49</v>
      </c>
      <c r="B11" s="6" t="str">
        <f>_xlfn.XLOOKUP(A11,TrainingTable[Training Component],TrainingTable[Category of Training Stimulus],"")</f>
        <v>Recovery</v>
      </c>
      <c r="C11" s="6" t="s">
        <v>57</v>
      </c>
      <c r="D11" s="6" t="s">
        <v>57</v>
      </c>
      <c r="E11" s="85" t="s">
        <v>194</v>
      </c>
      <c r="F11" s="85"/>
      <c r="G11" s="23">
        <v>3</v>
      </c>
      <c r="H11" s="23">
        <v>5</v>
      </c>
      <c r="I11" s="23">
        <v>0</v>
      </c>
      <c r="J11" s="23">
        <v>0</v>
      </c>
      <c r="K11" s="2"/>
      <c r="L11" s="24"/>
      <c r="M11" s="16"/>
      <c r="N11" s="16"/>
      <c r="O11" s="16"/>
      <c r="P11" s="16"/>
      <c r="Q11" s="16"/>
      <c r="R11" s="2"/>
      <c r="S11" s="16"/>
      <c r="T11" s="16"/>
    </row>
    <row r="12" spans="1:20" ht="50" customHeight="1">
      <c r="A12" s="6" t="s">
        <v>24</v>
      </c>
      <c r="B12" s="6" t="str">
        <f>_xlfn.XLOOKUP(A12,TrainingTable[Training Component],TrainingTable[Category of Training Stimulus],"")</f>
        <v>Threshold</v>
      </c>
      <c r="C12" s="6" t="s">
        <v>58</v>
      </c>
      <c r="D12" s="6" t="s">
        <v>64</v>
      </c>
      <c r="E12" s="85" t="s">
        <v>196</v>
      </c>
      <c r="F12" s="85"/>
      <c r="G12" s="23">
        <v>8</v>
      </c>
      <c r="H12" s="23">
        <v>15</v>
      </c>
      <c r="I12" s="23">
        <v>0.75</v>
      </c>
      <c r="J12" s="23">
        <v>2</v>
      </c>
      <c r="K12" s="2"/>
      <c r="L12" s="24"/>
      <c r="M12" s="16"/>
      <c r="N12" s="16"/>
      <c r="O12" s="16"/>
      <c r="P12" s="16"/>
      <c r="Q12" s="16"/>
      <c r="R12" s="2"/>
      <c r="S12" s="16"/>
      <c r="T12" s="16"/>
    </row>
    <row r="13" spans="1:20" ht="50" customHeight="1">
      <c r="A13" s="6" t="s">
        <v>49</v>
      </c>
      <c r="B13" s="6" t="str">
        <f>_xlfn.XLOOKUP(A13,TrainingTable[Training Component],TrainingTable[Category of Training Stimulus],"")</f>
        <v>Recovery</v>
      </c>
      <c r="C13" s="6" t="s">
        <v>57</v>
      </c>
      <c r="D13" s="6" t="s">
        <v>57</v>
      </c>
      <c r="E13" s="85" t="s">
        <v>197</v>
      </c>
      <c r="F13" s="85"/>
      <c r="G13" s="23">
        <v>5</v>
      </c>
      <c r="H13" s="23">
        <v>5</v>
      </c>
      <c r="I13" s="23">
        <v>0</v>
      </c>
      <c r="J13" s="23">
        <v>0</v>
      </c>
      <c r="K13" s="2"/>
      <c r="L13" s="24"/>
      <c r="M13" s="16"/>
      <c r="N13" s="16"/>
      <c r="O13" s="16"/>
      <c r="P13" s="16"/>
      <c r="Q13" s="16"/>
      <c r="R13" s="2"/>
      <c r="S13" s="16"/>
      <c r="T13" s="16"/>
    </row>
    <row r="14" spans="1:20" ht="50" customHeight="1">
      <c r="A14" s="6" t="s">
        <v>37</v>
      </c>
      <c r="B14" s="6" t="str">
        <f>_xlfn.XLOOKUP(A14,TrainingTable[Training Component],TrainingTable[Category of Training Stimulus],"")</f>
        <v>Turnover and Pace Work</v>
      </c>
      <c r="C14" s="6" t="s">
        <v>56</v>
      </c>
      <c r="D14" s="6" t="s">
        <v>64</v>
      </c>
      <c r="E14" s="85" t="s">
        <v>188</v>
      </c>
      <c r="F14" s="85"/>
      <c r="G14" s="23">
        <v>2</v>
      </c>
      <c r="H14" s="23">
        <v>3</v>
      </c>
      <c r="I14" s="23">
        <v>0.4</v>
      </c>
      <c r="J14" s="23">
        <v>0.4</v>
      </c>
      <c r="K14" s="2"/>
      <c r="L14" s="24"/>
      <c r="M14" s="16"/>
      <c r="N14" s="16"/>
      <c r="O14" s="16"/>
      <c r="P14" s="16"/>
      <c r="Q14" s="16"/>
      <c r="R14" s="2"/>
      <c r="S14" s="16"/>
      <c r="T14" s="16"/>
    </row>
    <row r="15" spans="1:20" ht="50" customHeight="1">
      <c r="A15" s="6" t="s">
        <v>14</v>
      </c>
      <c r="B15" s="6" t="str">
        <f>_xlfn.XLOOKUP(A15,TrainingTable[Training Component],TrainingTable[Category of Training Stimulus],"")</f>
        <v>Aerobic Running</v>
      </c>
      <c r="C15" s="6" t="s">
        <v>55</v>
      </c>
      <c r="D15" s="6" t="s">
        <v>67</v>
      </c>
      <c r="E15" s="85" t="s">
        <v>69</v>
      </c>
      <c r="F15" s="85"/>
      <c r="G15" s="23">
        <v>5</v>
      </c>
      <c r="H15" s="23">
        <v>15</v>
      </c>
      <c r="I15" s="23">
        <v>0.5</v>
      </c>
      <c r="J15" s="23">
        <v>2</v>
      </c>
      <c r="K15" s="2"/>
      <c r="L15" s="24"/>
      <c r="M15" s="16"/>
      <c r="N15" s="16"/>
      <c r="O15" s="16"/>
      <c r="P15" s="16"/>
      <c r="Q15" s="16"/>
      <c r="R15" s="2"/>
      <c r="S15" s="16"/>
      <c r="T15" s="16"/>
    </row>
    <row r="16" spans="1:20" ht="50" customHeight="1">
      <c r="A16" s="6" t="s">
        <v>21</v>
      </c>
      <c r="B16" s="6" t="str">
        <f>_xlfn.XLOOKUP(A16,TrainingTable[Training Component],TrainingTable[Category of Training Stimulus],"")</f>
        <v>Stretching and Mobility</v>
      </c>
      <c r="C16" s="6" t="s">
        <v>57</v>
      </c>
      <c r="D16" s="6" t="s">
        <v>57</v>
      </c>
      <c r="E16" s="85" t="s">
        <v>191</v>
      </c>
      <c r="F16" s="85"/>
      <c r="G16" s="23">
        <v>3</v>
      </c>
      <c r="H16" s="23">
        <v>3</v>
      </c>
      <c r="I16" s="23">
        <v>0</v>
      </c>
      <c r="J16" s="23">
        <v>0</v>
      </c>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zoomScale="140" zoomScaleNormal="140" workbookViewId="0">
      <selection activeCell="C1" sqref="C1"/>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91</v>
      </c>
      <c r="B1" s="21">
        <v>45688</v>
      </c>
      <c r="C1" s="20" t="s">
        <v>114</v>
      </c>
      <c r="D1" s="20" t="s">
        <v>61</v>
      </c>
      <c r="E1" s="92" t="s">
        <v>60</v>
      </c>
      <c r="F1" s="92"/>
      <c r="G1" s="90" t="s">
        <v>53</v>
      </c>
      <c r="H1" s="91"/>
      <c r="I1" s="91"/>
      <c r="J1" s="91"/>
      <c r="L1" s="25" t="s">
        <v>39</v>
      </c>
      <c r="M1" s="86" t="s">
        <v>11</v>
      </c>
      <c r="N1" s="86"/>
      <c r="O1" s="86"/>
      <c r="P1" s="86"/>
      <c r="Q1" s="86" t="s">
        <v>12</v>
      </c>
      <c r="R1" s="86"/>
      <c r="S1" s="86"/>
      <c r="T1" s="86"/>
    </row>
    <row r="2" spans="1:20" ht="17">
      <c r="A2" s="82" t="s">
        <v>16</v>
      </c>
      <c r="B2" s="82" t="s">
        <v>40</v>
      </c>
      <c r="C2" s="82" t="s">
        <v>54</v>
      </c>
      <c r="D2" s="82" t="s">
        <v>62</v>
      </c>
      <c r="E2" s="84" t="s">
        <v>13</v>
      </c>
      <c r="F2" s="84"/>
      <c r="G2" s="86" t="s">
        <v>47</v>
      </c>
      <c r="H2" s="86"/>
      <c r="I2" s="86" t="s">
        <v>46</v>
      </c>
      <c r="J2" s="86"/>
      <c r="K2" s="83"/>
      <c r="L2" s="26"/>
      <c r="M2" s="89" t="s">
        <v>77</v>
      </c>
      <c r="N2" s="89"/>
      <c r="O2" s="89"/>
      <c r="P2" s="89"/>
      <c r="Q2" s="88" t="s">
        <v>78</v>
      </c>
      <c r="R2" s="88"/>
      <c r="S2" s="88"/>
      <c r="T2" s="88"/>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19</v>
      </c>
      <c r="B4" s="6" t="str">
        <f>_xlfn.XLOOKUP(A4,TrainingTable[Training Component],TrainingTable[Category of Training Stimulus],"")</f>
        <v>Stretching and Mobility</v>
      </c>
      <c r="C4" s="6" t="s">
        <v>55</v>
      </c>
      <c r="D4" s="6" t="s">
        <v>67</v>
      </c>
      <c r="E4" s="85" t="s">
        <v>82</v>
      </c>
      <c r="F4" s="85"/>
      <c r="G4" s="23">
        <v>5</v>
      </c>
      <c r="H4" s="23">
        <v>5</v>
      </c>
      <c r="I4" s="23">
        <v>0</v>
      </c>
      <c r="J4" s="23">
        <v>0</v>
      </c>
      <c r="K4" s="2"/>
      <c r="L4" s="27" t="s">
        <v>76</v>
      </c>
      <c r="M4" s="28">
        <f>SUMIF($B$4:$B$26,"Aerobic Running",G4:G26)</f>
        <v>20</v>
      </c>
      <c r="N4" s="28">
        <f>SUMIF($B$4:$B$26,"Aerobic Running",H4:H26)</f>
        <v>45</v>
      </c>
      <c r="O4" s="39">
        <f t="shared" ref="O4:O9" si="0">M4/$M$10</f>
        <v>0.95238095238095233</v>
      </c>
      <c r="P4" s="39">
        <f t="shared" ref="P4:P10" si="1">N4/$N$10</f>
        <v>0.95744680851063835</v>
      </c>
      <c r="Q4" s="28">
        <f>SUMIF($B$4:$B$26,"Aerobic Running",I4:I26)</f>
        <v>2</v>
      </c>
      <c r="R4" s="28">
        <f>SUMIF($B$4:$B$26,"Aerobic Running",J4:J26)</f>
        <v>6</v>
      </c>
      <c r="S4" s="39">
        <f>Q4/$Q$10</f>
        <v>0.83333333333333337</v>
      </c>
      <c r="T4" s="39">
        <f>R4/$R$10</f>
        <v>0.90909090909090917</v>
      </c>
    </row>
    <row r="5" spans="1:20" ht="50" customHeight="1">
      <c r="A5" s="6" t="s">
        <v>0</v>
      </c>
      <c r="B5" s="6" t="str">
        <f>_xlfn.XLOOKUP(A5,TrainingTable[Training Component],TrainingTable[Category of Training Stimulus],"")</f>
        <v>Aerobic Running</v>
      </c>
      <c r="C5" s="6" t="s">
        <v>55</v>
      </c>
      <c r="D5" s="6" t="s">
        <v>67</v>
      </c>
      <c r="E5" s="85" t="s">
        <v>89</v>
      </c>
      <c r="F5" s="85"/>
      <c r="G5" s="23">
        <v>20</v>
      </c>
      <c r="H5" s="23">
        <v>45</v>
      </c>
      <c r="I5" s="23">
        <v>2</v>
      </c>
      <c r="J5" s="23">
        <v>6</v>
      </c>
      <c r="K5" s="2"/>
      <c r="L5" s="29" t="s">
        <v>34</v>
      </c>
      <c r="M5" s="30">
        <f>SUMIF($B$4:$B$26,"Turnover and Pace Work",G4:G26)</f>
        <v>1</v>
      </c>
      <c r="N5" s="30">
        <f>SUMIF($B$4:$B$26,"Turnover and Pace Work",H4:H26)</f>
        <v>2</v>
      </c>
      <c r="O5" s="40">
        <f t="shared" si="0"/>
        <v>4.7619047619047616E-2</v>
      </c>
      <c r="P5" s="40">
        <f t="shared" si="1"/>
        <v>4.2553191489361701E-2</v>
      </c>
      <c r="Q5" s="30">
        <f>SUMIF($B$4:$B$26,"Turnover and Pace Work",I4:I26)</f>
        <v>0.4</v>
      </c>
      <c r="R5" s="30">
        <f>SUMIF($B$4:$B$26,"Turnover and Pace Work",J4:J26)</f>
        <v>0.6</v>
      </c>
      <c r="S5" s="40">
        <f t="shared" ref="S5:S10" si="2">Q5/$Q$10</f>
        <v>0.16666666666666669</v>
      </c>
      <c r="T5" s="40">
        <f t="shared" ref="T5:T10" si="3">R5/$R$10</f>
        <v>9.0909090909090912E-2</v>
      </c>
    </row>
    <row r="6" spans="1:20" ht="50" customHeight="1">
      <c r="A6" s="6" t="s">
        <v>42</v>
      </c>
      <c r="B6" s="6" t="str">
        <f>_xlfn.XLOOKUP(A6,TrainingTable[Training Component],TrainingTable[Category of Training Stimulus],"")</f>
        <v>Turnover and Pace Work</v>
      </c>
      <c r="C6" s="6" t="s">
        <v>55</v>
      </c>
      <c r="D6" s="6" t="s">
        <v>67</v>
      </c>
      <c r="E6" s="85" t="s">
        <v>90</v>
      </c>
      <c r="F6" s="85"/>
      <c r="G6" s="23">
        <v>1</v>
      </c>
      <c r="H6" s="23">
        <v>2</v>
      </c>
      <c r="I6" s="23">
        <v>0.4</v>
      </c>
      <c r="J6" s="23">
        <v>0.6</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t="s">
        <v>57</v>
      </c>
      <c r="D7" s="6" t="s">
        <v>57</v>
      </c>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t="s">
        <v>57</v>
      </c>
      <c r="D8" s="6" t="s">
        <v>57</v>
      </c>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t="s">
        <v>57</v>
      </c>
      <c r="D9" s="6" t="s">
        <v>57</v>
      </c>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5"/>
      <c r="F10" s="85"/>
      <c r="G10" s="23"/>
      <c r="H10" s="23"/>
      <c r="I10" s="23"/>
      <c r="J10" s="23"/>
      <c r="K10" s="2"/>
      <c r="L10" s="46" t="s">
        <v>79</v>
      </c>
      <c r="M10" s="23">
        <f>SUM(M4:M9)</f>
        <v>21</v>
      </c>
      <c r="N10" s="23">
        <f>SUM(N4:N9)</f>
        <v>47</v>
      </c>
      <c r="O10" s="47">
        <f>M10/M10</f>
        <v>1</v>
      </c>
      <c r="P10" s="45">
        <f t="shared" si="1"/>
        <v>1</v>
      </c>
      <c r="Q10" s="23">
        <f>SUM(Q4:Q9)</f>
        <v>2.4</v>
      </c>
      <c r="R10" s="23">
        <f>SUM(R4:R9)</f>
        <v>6.6</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zoomScale="140" zoomScaleNormal="140" workbookViewId="0">
      <selection activeCell="C1" sqref="C1"/>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96</v>
      </c>
      <c r="B1" s="21">
        <v>45689</v>
      </c>
      <c r="C1" s="20" t="s">
        <v>92</v>
      </c>
      <c r="D1" s="20" t="s">
        <v>61</v>
      </c>
      <c r="E1" s="92" t="s">
        <v>60</v>
      </c>
      <c r="F1" s="92"/>
      <c r="G1" s="90" t="s">
        <v>53</v>
      </c>
      <c r="H1" s="91"/>
      <c r="I1" s="91"/>
      <c r="J1" s="91"/>
      <c r="L1" s="25" t="s">
        <v>39</v>
      </c>
      <c r="M1" s="86" t="s">
        <v>11</v>
      </c>
      <c r="N1" s="86"/>
      <c r="O1" s="86"/>
      <c r="P1" s="86"/>
      <c r="Q1" s="86" t="s">
        <v>12</v>
      </c>
      <c r="R1" s="86"/>
      <c r="S1" s="86"/>
      <c r="T1" s="86"/>
    </row>
    <row r="2" spans="1:20" ht="17">
      <c r="A2" s="82" t="s">
        <v>16</v>
      </c>
      <c r="B2" s="82" t="s">
        <v>40</v>
      </c>
      <c r="C2" s="82" t="s">
        <v>54</v>
      </c>
      <c r="D2" s="82" t="s">
        <v>62</v>
      </c>
      <c r="E2" s="84" t="s">
        <v>13</v>
      </c>
      <c r="F2" s="84"/>
      <c r="G2" s="86" t="s">
        <v>47</v>
      </c>
      <c r="H2" s="86"/>
      <c r="I2" s="86" t="s">
        <v>46</v>
      </c>
      <c r="J2" s="86"/>
      <c r="K2" s="83"/>
      <c r="L2" s="26"/>
      <c r="M2" s="89" t="s">
        <v>77</v>
      </c>
      <c r="N2" s="89"/>
      <c r="O2" s="89"/>
      <c r="P2" s="89"/>
      <c r="Q2" s="88" t="s">
        <v>78</v>
      </c>
      <c r="R2" s="88"/>
      <c r="S2" s="88"/>
      <c r="T2" s="88"/>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19</v>
      </c>
      <c r="B4" s="6" t="str">
        <f>_xlfn.XLOOKUP(A4,TrainingTable[Training Component],TrainingTable[Category of Training Stimulus],"")</f>
        <v>Stretching and Mobility</v>
      </c>
      <c r="C4" s="6" t="s">
        <v>55</v>
      </c>
      <c r="D4" s="6" t="s">
        <v>67</v>
      </c>
      <c r="E4" s="85" t="s">
        <v>86</v>
      </c>
      <c r="F4" s="85"/>
      <c r="G4" s="23">
        <v>4</v>
      </c>
      <c r="H4" s="23">
        <v>5</v>
      </c>
      <c r="I4" s="23">
        <v>0.5</v>
      </c>
      <c r="J4" s="23">
        <v>0.5</v>
      </c>
      <c r="K4" s="2"/>
      <c r="L4" s="27" t="s">
        <v>76</v>
      </c>
      <c r="M4" s="28">
        <f>SUMIF($B$4:$B$26,"Aerobic Running",G4:G26)</f>
        <v>30</v>
      </c>
      <c r="N4" s="28">
        <f>SUMIF($B$4:$B$26,"Aerobic Running",H4:H26)</f>
        <v>90</v>
      </c>
      <c r="O4" s="39">
        <f t="shared" ref="O4:O9" si="0">M4/$M$10</f>
        <v>1</v>
      </c>
      <c r="P4" s="39">
        <f t="shared" ref="P4:P10" si="1">N4/$N$10</f>
        <v>1</v>
      </c>
      <c r="Q4" s="28">
        <f>SUMIF($B$4:$B$26,"Aerobic Running",I4:I26)</f>
        <v>2.75</v>
      </c>
      <c r="R4" s="28">
        <f>SUMIF($B$4:$B$26,"Aerobic Running",J4:J26)</f>
        <v>14</v>
      </c>
      <c r="S4" s="39">
        <f>Q4/$Q$10</f>
        <v>1</v>
      </c>
      <c r="T4" s="39">
        <f>R4/$R$10</f>
        <v>1</v>
      </c>
    </row>
    <row r="5" spans="1:20" ht="50" customHeight="1">
      <c r="A5" s="6" t="s">
        <v>92</v>
      </c>
      <c r="B5" s="6" t="str">
        <f>_xlfn.XLOOKUP(A5,TrainingTable[Training Component],TrainingTable[Category of Training Stimulus],"")</f>
        <v>Aerobic Running</v>
      </c>
      <c r="C5" s="6" t="s">
        <v>55</v>
      </c>
      <c r="D5" s="6" t="s">
        <v>67</v>
      </c>
      <c r="E5" s="85" t="s">
        <v>93</v>
      </c>
      <c r="F5" s="85"/>
      <c r="G5" s="23">
        <v>30</v>
      </c>
      <c r="H5" s="23">
        <v>90</v>
      </c>
      <c r="I5" s="23">
        <v>2.75</v>
      </c>
      <c r="J5" s="23">
        <v>14</v>
      </c>
      <c r="K5" s="2"/>
      <c r="L5" s="29" t="s">
        <v>34</v>
      </c>
      <c r="M5" s="30">
        <f>SUMIF($B$4:$B$26,"Turnover and Pace Work",G4:G26)</f>
        <v>0</v>
      </c>
      <c r="N5" s="30">
        <f>SUMIF($B$4:$B$26,"Turnover and Pace Work",H4:H26)</f>
        <v>0</v>
      </c>
      <c r="O5" s="40">
        <f t="shared" si="0"/>
        <v>0</v>
      </c>
      <c r="P5" s="40">
        <f t="shared" si="1"/>
        <v>0</v>
      </c>
      <c r="Q5" s="30">
        <f>SUMIF($B$4:$B$26,"Turnover and Pace Work",I4:I26)</f>
        <v>0</v>
      </c>
      <c r="R5" s="30">
        <f>SUMIF($B$4:$B$26,"Turnover and Pace Work",J4:J26)</f>
        <v>0</v>
      </c>
      <c r="S5" s="40">
        <f t="shared" ref="S5:S10" si="2">Q5/$Q$10</f>
        <v>0</v>
      </c>
      <c r="T5" s="40">
        <f t="shared" ref="T5:T10" si="3">R5/$R$10</f>
        <v>0</v>
      </c>
    </row>
    <row r="6" spans="1:20" ht="50" customHeight="1">
      <c r="A6" s="6" t="s">
        <v>20</v>
      </c>
      <c r="B6" s="6" t="str">
        <f>_xlfn.XLOOKUP(A6,TrainingTable[Training Component],TrainingTable[Category of Training Stimulus],"")</f>
        <v>Stretching and Mobility</v>
      </c>
      <c r="C6" s="6" t="s">
        <v>57</v>
      </c>
      <c r="D6" s="6" t="s">
        <v>57</v>
      </c>
      <c r="E6" s="85" t="s">
        <v>94</v>
      </c>
      <c r="F6" s="85"/>
      <c r="G6" s="23">
        <v>5</v>
      </c>
      <c r="H6" s="23">
        <v>10</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t="s">
        <v>57</v>
      </c>
      <c r="D7" s="6" t="s">
        <v>57</v>
      </c>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t="s">
        <v>57</v>
      </c>
      <c r="D8" s="6" t="s">
        <v>57</v>
      </c>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t="s">
        <v>57</v>
      </c>
      <c r="D9" s="6" t="s">
        <v>57</v>
      </c>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5"/>
      <c r="F10" s="85"/>
      <c r="G10" s="23"/>
      <c r="H10" s="23"/>
      <c r="I10" s="23"/>
      <c r="J10" s="23"/>
      <c r="K10" s="2"/>
      <c r="L10" s="46" t="s">
        <v>79</v>
      </c>
      <c r="M10" s="23">
        <f>SUM(M4:M9)</f>
        <v>30</v>
      </c>
      <c r="N10" s="23">
        <f>SUM(N4:N9)</f>
        <v>90</v>
      </c>
      <c r="O10" s="47">
        <f>M10/M10</f>
        <v>1</v>
      </c>
      <c r="P10" s="45">
        <f t="shared" si="1"/>
        <v>1</v>
      </c>
      <c r="Q10" s="23">
        <f>SUM(Q4:Q9)</f>
        <v>2.75</v>
      </c>
      <c r="R10" s="23">
        <f>SUM(R4:R9)</f>
        <v>14</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zoomScale="140" zoomScaleNormal="140" workbookViewId="0">
      <selection activeCell="C4" sqref="C4"/>
    </sheetView>
  </sheetViews>
  <sheetFormatPr baseColWidth="10" defaultRowHeight="17"/>
  <cols>
    <col min="1" max="1" width="43.6640625" style="2" customWidth="1"/>
    <col min="2" max="2" width="17.33203125" style="2" customWidth="1"/>
    <col min="3" max="4" width="17.33203125" style="16" customWidth="1"/>
    <col min="5" max="5" width="81.33203125" style="2" customWidth="1"/>
    <col min="6" max="26" width="10.83203125" style="2"/>
  </cols>
  <sheetData>
    <row r="1" spans="1:5" ht="50" customHeight="1">
      <c r="A1" s="3" t="s">
        <v>182</v>
      </c>
      <c r="B1" s="5" t="s">
        <v>137</v>
      </c>
    </row>
    <row r="2" spans="1:5" ht="19" customHeight="1"/>
    <row r="3" spans="1:5" ht="50" customHeight="1">
      <c r="A3" s="51" t="s">
        <v>116</v>
      </c>
      <c r="B3" s="51" t="s">
        <v>117</v>
      </c>
      <c r="C3" s="53" t="s">
        <v>118</v>
      </c>
      <c r="D3" s="53" t="s">
        <v>119</v>
      </c>
      <c r="E3" s="51" t="s">
        <v>13</v>
      </c>
    </row>
    <row r="4" spans="1:5" ht="50" customHeight="1">
      <c r="A4" s="6" t="str" cm="1">
        <f t="array" ref="A4:E8">_xlfn._xlws.FILTER(Strength_Core2[],Strength_Core2[Routine]=B1)</f>
        <v>Dumbbell Squat Jump</v>
      </c>
      <c r="B4" s="6" t="str">
        <v>Lower Body C</v>
      </c>
      <c r="C4" s="23">
        <v>2</v>
      </c>
      <c r="D4" s="23" t="str">
        <v>5</v>
      </c>
      <c r="E4" s="6" t="str">
        <v>https://www.youtube.com/watch?v=-qu2L4S2xtU&amp;pp=ygUTZHVtYmJlbGwganVtcCBzcXVhdA%3D%3D</v>
      </c>
    </row>
    <row r="5" spans="1:5" ht="50" customHeight="1">
      <c r="A5" s="6" t="str">
        <v>Kneeling Snatch to Knee Drive (Barbell or Dumbbells)</v>
      </c>
      <c r="B5" s="6" t="str">
        <v>Lower Body C</v>
      </c>
      <c r="C5" s="23">
        <v>2</v>
      </c>
      <c r="D5" s="23" t="str">
        <v>6-10</v>
      </c>
      <c r="E5" s="6" t="str">
        <v>https://youtube.com/clip/UgkxXrf-8xvEHQDXCNwMGxLAqMspqWVrD82n?si=7HAU8ZTibnLQF8F2</v>
      </c>
    </row>
    <row r="6" spans="1:5" ht="50" customHeight="1">
      <c r="A6" s="6" t="str">
        <v>Standing Broad Jumps</v>
      </c>
      <c r="B6" s="6" t="str">
        <v>Lower Body C</v>
      </c>
      <c r="C6" s="23">
        <v>2</v>
      </c>
      <c r="D6" s="23" t="str">
        <v>5</v>
      </c>
      <c r="E6" s="6">
        <v>0</v>
      </c>
    </row>
    <row r="7" spans="1:5" ht="50" customHeight="1">
      <c r="A7" s="6" t="str">
        <v>Double Leg Pogo Hops</v>
      </c>
      <c r="B7" s="6" t="str">
        <v>Lower Body C</v>
      </c>
      <c r="C7" s="23">
        <v>2</v>
      </c>
      <c r="D7" s="23" t="str">
        <v>10-15</v>
      </c>
      <c r="E7" s="6">
        <v>0</v>
      </c>
    </row>
    <row r="8" spans="1:5" ht="50" customHeight="1">
      <c r="A8" s="6" t="str">
        <v>Box Jumps</v>
      </c>
      <c r="B8" s="6" t="str">
        <v>Lower Body C</v>
      </c>
      <c r="C8" s="23">
        <v>2</v>
      </c>
      <c r="D8" s="23" t="str">
        <v>8-12</v>
      </c>
      <c r="E8" s="6">
        <v>0</v>
      </c>
    </row>
    <row r="9" spans="1:5" ht="50" customHeight="1"/>
    <row r="10" spans="1:5" ht="50" customHeight="1"/>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0"/>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168</v>
      </c>
      <c r="F1" s="3" t="s">
        <v>108</v>
      </c>
    </row>
    <row r="2" spans="1:6">
      <c r="A2" s="2" t="str" cm="1">
        <f t="array" ref="A2:A9">_xlfn._xlws.SORT(_xlfn.UNIQUE(TrainingTable[Category of Training Stimulus]))</f>
        <v>Aerobic Running</v>
      </c>
      <c r="B2" s="2" t="str" cm="1">
        <f t="array" ref="B2:B30">_xlfn._xlws.SORT(_xlfn.UNIQUE(TrainingTable[Training Component]))</f>
        <v>10K Pace Running</v>
      </c>
      <c r="C2" s="2" t="s">
        <v>55</v>
      </c>
      <c r="D2" s="2" t="s">
        <v>67</v>
      </c>
      <c r="E2" s="2" t="str" cm="1">
        <f t="array" ref="E2:E9">_xlfn.UNIQUE(Strength_Core2[Routine])</f>
        <v>Lower Body A</v>
      </c>
      <c r="F2" s="2" t="s">
        <v>111</v>
      </c>
    </row>
    <row r="3" spans="1:6">
      <c r="A3" s="2" t="str">
        <v>Lactate Tolerance</v>
      </c>
      <c r="B3" s="2" t="str">
        <v>1600M Pace Running</v>
      </c>
      <c r="C3" s="2" t="s">
        <v>57</v>
      </c>
      <c r="D3" s="2" t="s">
        <v>66</v>
      </c>
      <c r="E3" s="2" t="str">
        <v>Lower Body B</v>
      </c>
      <c r="F3" s="2" t="s">
        <v>110</v>
      </c>
    </row>
    <row r="4" spans="1:6">
      <c r="A4" s="2" t="str">
        <v>Recovery</v>
      </c>
      <c r="B4" s="2" t="str">
        <v>30M Flys</v>
      </c>
      <c r="C4" s="2" t="s">
        <v>56</v>
      </c>
      <c r="D4" s="2" t="s">
        <v>65</v>
      </c>
      <c r="E4" s="2" t="str">
        <v>Lower Body C</v>
      </c>
      <c r="F4" s="2" t="s">
        <v>112</v>
      </c>
    </row>
    <row r="5" spans="1:6">
      <c r="A5" s="2" t="str">
        <v>Speed Development</v>
      </c>
      <c r="B5" s="2" t="str">
        <v>3K Pace Running</v>
      </c>
      <c r="C5" s="2" t="s">
        <v>58</v>
      </c>
      <c r="D5" s="2" t="s">
        <v>57</v>
      </c>
      <c r="E5" s="2" t="str">
        <v>Lower Body D</v>
      </c>
      <c r="F5" s="2" t="s">
        <v>113</v>
      </c>
    </row>
    <row r="6" spans="1:6">
      <c r="A6" s="2" t="str">
        <v>Stretching and Mobility</v>
      </c>
      <c r="B6" s="2" t="str">
        <v>400M Pace Running</v>
      </c>
      <c r="D6" s="2" t="s">
        <v>63</v>
      </c>
      <c r="E6" s="2" t="str">
        <v>Core A</v>
      </c>
      <c r="F6" s="2" t="s">
        <v>95</v>
      </c>
    </row>
    <row r="7" spans="1:6">
      <c r="A7" s="2" t="str">
        <v>Threshold</v>
      </c>
      <c r="B7" s="2" t="str">
        <v>50M Flys</v>
      </c>
      <c r="D7" s="2" t="s">
        <v>64</v>
      </c>
      <c r="E7" s="2" t="str">
        <v>Core B</v>
      </c>
      <c r="F7" s="2" t="s">
        <v>114</v>
      </c>
    </row>
    <row r="8" spans="1:6">
      <c r="A8" s="2" t="str">
        <v>Turnover and Pace Work</v>
      </c>
      <c r="B8" s="2" t="str">
        <v>5K Pace Running</v>
      </c>
      <c r="D8" s="2" t="s">
        <v>68</v>
      </c>
      <c r="E8" s="2" t="str">
        <v>Core C</v>
      </c>
      <c r="F8" s="2" t="s">
        <v>92</v>
      </c>
    </row>
    <row r="9" spans="1:6">
      <c r="A9" s="2" t="str">
        <v>VO2 Max</v>
      </c>
      <c r="B9" s="2" t="str">
        <v>800M Pace Running</v>
      </c>
      <c r="E9" s="2" t="str">
        <v>Upper Body A</v>
      </c>
    </row>
    <row r="10" spans="1:6">
      <c r="B10" s="2" t="str">
        <v>80M Flys</v>
      </c>
    </row>
    <row r="11" spans="1:6">
      <c r="B11" s="2" t="str">
        <v>Cooldown</v>
      </c>
    </row>
    <row r="12" spans="1:6">
      <c r="B12" s="2" t="str">
        <v>Dynamic Stretching</v>
      </c>
    </row>
    <row r="13" spans="1:6">
      <c r="B13" s="2" t="str">
        <v>Easy Running</v>
      </c>
    </row>
    <row r="14" spans="1:6">
      <c r="B14" s="2" t="str">
        <v>Float Recovery</v>
      </c>
    </row>
    <row r="15" spans="1:6">
      <c r="B15" s="2" t="str">
        <v>Hurdle Mobility</v>
      </c>
    </row>
    <row r="16" spans="1:6">
      <c r="B16" s="2" t="str">
        <v>Jog Recovery</v>
      </c>
    </row>
    <row r="17" spans="2:2">
      <c r="B17" s="2" t="str">
        <v>Long Run</v>
      </c>
    </row>
    <row r="18" spans="2:2">
      <c r="B18" s="2" t="str">
        <v>Race</v>
      </c>
    </row>
    <row r="19" spans="2:2">
      <c r="B19" s="2" t="str">
        <v>Race Pace (1600M)</v>
      </c>
    </row>
    <row r="20" spans="2:2">
      <c r="B20" s="2" t="str">
        <v>Race Pace (3K)</v>
      </c>
    </row>
    <row r="21" spans="2:2">
      <c r="B21" s="2" t="str">
        <v>Race Pace (5K)</v>
      </c>
    </row>
    <row r="22" spans="2:2">
      <c r="B22" s="2" t="str">
        <v>Race Pace (800M)</v>
      </c>
    </row>
    <row r="23" spans="2:2">
      <c r="B23" s="2" t="str">
        <v>Standing Rest</v>
      </c>
    </row>
    <row r="24" spans="2:2">
      <c r="B24" s="2" t="str">
        <v>Static Stretching</v>
      </c>
    </row>
    <row r="25" spans="2:2">
      <c r="B25" s="2" t="str">
        <v>Strides (Post-Run)</v>
      </c>
    </row>
    <row r="26" spans="2:2">
      <c r="B26" s="2" t="str">
        <v>Strides (Pre-Run)</v>
      </c>
    </row>
    <row r="27" spans="2:2">
      <c r="B27" s="2" t="str">
        <v>Sub-Threshold Running</v>
      </c>
    </row>
    <row r="28" spans="2:2">
      <c r="B28" s="2" t="str">
        <v>Threshold Running</v>
      </c>
    </row>
    <row r="29" spans="2:2">
      <c r="B29" s="2" t="str">
        <v>Walking Rest</v>
      </c>
    </row>
    <row r="30" spans="2:2">
      <c r="B30"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zoomScale="160" zoomScaleNormal="160" workbookViewId="0">
      <selection activeCell="B5" sqref="B5"/>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92</v>
      </c>
      <c r="C29" s="14"/>
    </row>
    <row r="30" spans="1:3" ht="35" customHeight="1">
      <c r="A30" s="12" t="s">
        <v>2</v>
      </c>
      <c r="B30" s="13" t="s">
        <v>95</v>
      </c>
      <c r="C30" s="14"/>
    </row>
    <row r="31" spans="1:3" ht="25" customHeight="1"/>
    <row r="32" spans="1:3"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C22" sqref="C22"/>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116</v>
      </c>
      <c r="B1" s="3" t="s">
        <v>117</v>
      </c>
      <c r="C1" s="15" t="s">
        <v>118</v>
      </c>
      <c r="D1" s="72" t="s">
        <v>119</v>
      </c>
      <c r="E1" s="3" t="s">
        <v>13</v>
      </c>
      <c r="F1" s="2"/>
      <c r="G1" s="2"/>
      <c r="H1" s="2"/>
      <c r="I1" s="2"/>
      <c r="J1" s="2"/>
      <c r="K1" s="2"/>
      <c r="L1" s="2"/>
      <c r="M1" s="2"/>
    </row>
    <row r="2" spans="1:13" s="4" customFormat="1" ht="30" customHeight="1">
      <c r="A2" s="2" t="s">
        <v>120</v>
      </c>
      <c r="B2" s="2" t="s">
        <v>8</v>
      </c>
      <c r="C2" s="16">
        <v>3</v>
      </c>
      <c r="D2" s="73" t="s">
        <v>126</v>
      </c>
      <c r="E2" s="78" t="s">
        <v>174</v>
      </c>
      <c r="F2" s="2"/>
      <c r="G2" s="2"/>
      <c r="H2" s="2"/>
      <c r="I2" s="2"/>
      <c r="J2" s="2"/>
      <c r="K2" s="2"/>
      <c r="L2" s="2"/>
      <c r="M2" s="2"/>
    </row>
    <row r="3" spans="1:13" s="4" customFormat="1" ht="30" customHeight="1">
      <c r="A3" s="2" t="s">
        <v>122</v>
      </c>
      <c r="B3" s="2" t="s">
        <v>8</v>
      </c>
      <c r="C3" s="16">
        <v>3</v>
      </c>
      <c r="D3" s="73" t="s">
        <v>121</v>
      </c>
      <c r="E3" s="78" t="s">
        <v>175</v>
      </c>
      <c r="F3" s="2"/>
      <c r="G3" s="2"/>
      <c r="H3" s="2"/>
      <c r="I3" s="2"/>
      <c r="J3" s="2"/>
      <c r="K3" s="2"/>
      <c r="L3" s="2"/>
      <c r="M3" s="2"/>
    </row>
    <row r="4" spans="1:13" s="4" customFormat="1" ht="30" customHeight="1">
      <c r="A4" s="2" t="s">
        <v>123</v>
      </c>
      <c r="B4" s="2" t="s">
        <v>8</v>
      </c>
      <c r="C4" s="16">
        <v>2</v>
      </c>
      <c r="D4" s="73" t="s">
        <v>121</v>
      </c>
      <c r="E4" s="78" t="s">
        <v>176</v>
      </c>
      <c r="F4" s="2"/>
      <c r="G4" s="2"/>
      <c r="H4" s="2"/>
      <c r="I4" s="2"/>
      <c r="J4" s="2"/>
      <c r="K4" s="2"/>
      <c r="L4" s="2"/>
      <c r="M4" s="2"/>
    </row>
    <row r="5" spans="1:13" s="4" customFormat="1" ht="30" customHeight="1">
      <c r="A5" s="2" t="s">
        <v>124</v>
      </c>
      <c r="B5" s="2" t="s">
        <v>8</v>
      </c>
      <c r="C5" s="16">
        <v>2</v>
      </c>
      <c r="D5" s="73" t="s">
        <v>125</v>
      </c>
      <c r="E5" s="78" t="s">
        <v>177</v>
      </c>
      <c r="F5" s="2"/>
      <c r="G5" s="2"/>
      <c r="H5" s="2"/>
      <c r="I5" s="2"/>
      <c r="J5" s="2"/>
      <c r="K5" s="2"/>
      <c r="L5" s="2"/>
      <c r="M5" s="2"/>
    </row>
    <row r="6" spans="1:13" s="4" customFormat="1" ht="30" customHeight="1">
      <c r="A6" s="2" t="s">
        <v>127</v>
      </c>
      <c r="B6" s="2" t="s">
        <v>8</v>
      </c>
      <c r="C6" s="16">
        <v>3</v>
      </c>
      <c r="D6" s="73" t="s">
        <v>128</v>
      </c>
      <c r="E6" s="77" t="s">
        <v>178</v>
      </c>
      <c r="F6" s="2"/>
      <c r="G6" s="2"/>
      <c r="H6" s="2"/>
      <c r="I6" s="2"/>
      <c r="J6" s="2"/>
      <c r="K6" s="2"/>
      <c r="L6" s="2"/>
      <c r="M6" s="2"/>
    </row>
    <row r="7" spans="1:13" s="4" customFormat="1" ht="30" customHeight="1">
      <c r="A7" s="2" t="s">
        <v>129</v>
      </c>
      <c r="B7" s="2" t="s">
        <v>9</v>
      </c>
      <c r="C7" s="16">
        <v>3</v>
      </c>
      <c r="D7" s="73" t="s">
        <v>130</v>
      </c>
      <c r="E7" s="77" t="s">
        <v>179</v>
      </c>
      <c r="F7" s="2"/>
      <c r="G7" s="2"/>
      <c r="H7" s="2"/>
      <c r="I7" s="2"/>
      <c r="J7" s="2"/>
      <c r="K7" s="2"/>
      <c r="L7" s="2"/>
      <c r="M7" s="2"/>
    </row>
    <row r="8" spans="1:13" s="4" customFormat="1" ht="30" customHeight="1">
      <c r="A8" s="2" t="s">
        <v>131</v>
      </c>
      <c r="B8" s="2" t="s">
        <v>9</v>
      </c>
      <c r="C8" s="16">
        <v>3</v>
      </c>
      <c r="D8" s="73" t="s">
        <v>132</v>
      </c>
      <c r="E8" s="77" t="s">
        <v>180</v>
      </c>
      <c r="F8" s="2"/>
      <c r="G8" s="2"/>
      <c r="H8" s="2"/>
      <c r="I8" s="2"/>
      <c r="J8" s="2"/>
      <c r="K8" s="2"/>
      <c r="L8" s="2"/>
      <c r="M8" s="2"/>
    </row>
    <row r="9" spans="1:13" s="4" customFormat="1" ht="30" customHeight="1">
      <c r="A9" s="2" t="s">
        <v>181</v>
      </c>
      <c r="B9" s="2" t="s">
        <v>9</v>
      </c>
      <c r="C9" s="16">
        <v>2</v>
      </c>
      <c r="D9" s="73" t="s">
        <v>133</v>
      </c>
      <c r="E9" s="78" t="s">
        <v>183</v>
      </c>
      <c r="F9" s="2"/>
      <c r="G9" s="2"/>
      <c r="H9" s="2"/>
      <c r="I9" s="2"/>
      <c r="J9" s="2"/>
      <c r="K9" s="2"/>
      <c r="L9" s="2"/>
      <c r="M9" s="2"/>
    </row>
    <row r="10" spans="1:13" s="4" customFormat="1" ht="30" customHeight="1">
      <c r="A10" s="2" t="s">
        <v>134</v>
      </c>
      <c r="B10" s="2" t="s">
        <v>9</v>
      </c>
      <c r="C10" s="16">
        <v>3</v>
      </c>
      <c r="D10" s="73" t="s">
        <v>125</v>
      </c>
      <c r="E10" s="78" t="s">
        <v>184</v>
      </c>
      <c r="F10" s="2"/>
      <c r="G10" s="2"/>
      <c r="H10" s="2"/>
      <c r="I10" s="2"/>
      <c r="J10" s="2"/>
      <c r="K10" s="2"/>
      <c r="L10" s="2"/>
      <c r="M10" s="2"/>
    </row>
    <row r="11" spans="1:13" s="4" customFormat="1" ht="30" customHeight="1">
      <c r="A11" s="2" t="s">
        <v>135</v>
      </c>
      <c r="B11" s="2" t="s">
        <v>9</v>
      </c>
      <c r="C11" s="16">
        <v>3</v>
      </c>
      <c r="D11" s="73" t="s">
        <v>125</v>
      </c>
      <c r="E11" s="78" t="s">
        <v>185</v>
      </c>
      <c r="F11" s="2"/>
      <c r="G11" s="2"/>
      <c r="H11" s="2"/>
      <c r="I11" s="2"/>
      <c r="J11" s="2"/>
      <c r="K11" s="2"/>
      <c r="L11" s="2"/>
      <c r="M11" s="2"/>
    </row>
    <row r="12" spans="1:13" s="4" customFormat="1" ht="30" customHeight="1">
      <c r="A12" s="2" t="s">
        <v>136</v>
      </c>
      <c r="B12" s="2" t="s">
        <v>137</v>
      </c>
      <c r="C12" s="16">
        <v>2</v>
      </c>
      <c r="D12" s="73" t="s">
        <v>140</v>
      </c>
      <c r="E12" s="78" t="s">
        <v>186</v>
      </c>
      <c r="F12" s="2"/>
      <c r="G12" s="2"/>
      <c r="H12" s="2"/>
      <c r="I12" s="2"/>
      <c r="J12" s="2"/>
      <c r="K12" s="2"/>
      <c r="L12" s="2"/>
      <c r="M12" s="2"/>
    </row>
    <row r="13" spans="1:13" s="4" customFormat="1" ht="30" customHeight="1">
      <c r="A13" s="2" t="s">
        <v>138</v>
      </c>
      <c r="B13" s="2" t="s">
        <v>137</v>
      </c>
      <c r="C13" s="16">
        <v>2</v>
      </c>
      <c r="D13" s="73" t="s">
        <v>141</v>
      </c>
      <c r="E13" s="78" t="s">
        <v>187</v>
      </c>
      <c r="F13" s="2"/>
      <c r="G13" s="2"/>
      <c r="H13" s="2"/>
      <c r="I13" s="2"/>
      <c r="J13" s="2"/>
      <c r="K13" s="2"/>
      <c r="L13" s="2"/>
      <c r="M13" s="2"/>
    </row>
    <row r="14" spans="1:13" s="4" customFormat="1" ht="30" customHeight="1">
      <c r="A14" s="2" t="s">
        <v>139</v>
      </c>
      <c r="B14" s="2" t="s">
        <v>137</v>
      </c>
      <c r="C14" s="16">
        <v>2</v>
      </c>
      <c r="D14" s="73" t="s">
        <v>140</v>
      </c>
      <c r="E14" s="2"/>
      <c r="F14" s="2"/>
      <c r="G14" s="2"/>
      <c r="H14" s="2"/>
      <c r="I14" s="2"/>
      <c r="J14" s="2"/>
      <c r="K14" s="2"/>
      <c r="L14" s="2"/>
      <c r="M14" s="2"/>
    </row>
    <row r="15" spans="1:13" s="4" customFormat="1" ht="30" customHeight="1">
      <c r="A15" s="2" t="s">
        <v>142</v>
      </c>
      <c r="B15" s="2" t="s">
        <v>137</v>
      </c>
      <c r="C15" s="16">
        <v>2</v>
      </c>
      <c r="D15" s="73" t="s">
        <v>143</v>
      </c>
      <c r="E15" s="2"/>
      <c r="F15" s="2"/>
      <c r="G15" s="2"/>
      <c r="H15" s="2"/>
      <c r="I15" s="2"/>
      <c r="J15" s="2"/>
      <c r="K15" s="2"/>
      <c r="L15" s="2"/>
      <c r="M15" s="2"/>
    </row>
    <row r="16" spans="1:13" s="4" customFormat="1" ht="30" customHeight="1">
      <c r="A16" s="2" t="s">
        <v>144</v>
      </c>
      <c r="B16" s="2" t="s">
        <v>137</v>
      </c>
      <c r="C16" s="16">
        <v>2</v>
      </c>
      <c r="D16" s="73" t="s">
        <v>132</v>
      </c>
      <c r="E16" s="2"/>
      <c r="F16" s="2"/>
      <c r="G16" s="2"/>
      <c r="H16" s="2"/>
      <c r="I16" s="2"/>
      <c r="J16" s="2"/>
      <c r="K16" s="2"/>
      <c r="L16" s="2"/>
      <c r="M16" s="2"/>
    </row>
    <row r="17" spans="1:13" s="4" customFormat="1" ht="30" customHeight="1">
      <c r="A17" s="2" t="s">
        <v>145</v>
      </c>
      <c r="B17" s="2" t="s">
        <v>146</v>
      </c>
      <c r="C17" s="16">
        <v>2</v>
      </c>
      <c r="D17" s="73" t="s">
        <v>128</v>
      </c>
      <c r="E17" s="2"/>
      <c r="F17" s="2"/>
      <c r="G17" s="2"/>
      <c r="H17" s="2"/>
      <c r="I17" s="2"/>
      <c r="J17" s="2"/>
      <c r="K17" s="2"/>
      <c r="L17" s="2"/>
      <c r="M17" s="2"/>
    </row>
    <row r="18" spans="1:13" s="4" customFormat="1" ht="30" customHeight="1">
      <c r="A18" s="2" t="s">
        <v>147</v>
      </c>
      <c r="B18" s="2" t="s">
        <v>146</v>
      </c>
      <c r="C18" s="16">
        <v>2</v>
      </c>
      <c r="D18" s="73" t="s">
        <v>121</v>
      </c>
      <c r="E18" s="2"/>
      <c r="F18" s="2"/>
      <c r="G18" s="2"/>
      <c r="H18" s="2"/>
      <c r="I18" s="2"/>
      <c r="J18" s="2"/>
      <c r="K18" s="2"/>
      <c r="L18" s="2"/>
      <c r="M18" s="2"/>
    </row>
    <row r="19" spans="1:13" s="4" customFormat="1" ht="30" customHeight="1">
      <c r="A19" s="2" t="s">
        <v>152</v>
      </c>
      <c r="B19" s="2" t="s">
        <v>146</v>
      </c>
      <c r="C19" s="16">
        <v>2</v>
      </c>
      <c r="D19" s="73" t="s">
        <v>140</v>
      </c>
      <c r="E19" s="2"/>
      <c r="F19" s="2"/>
      <c r="G19" s="2"/>
      <c r="H19" s="2"/>
      <c r="I19" s="2"/>
      <c r="J19" s="2"/>
      <c r="K19" s="2"/>
      <c r="L19" s="2"/>
      <c r="M19" s="2"/>
    </row>
    <row r="20" spans="1:13" s="4" customFormat="1" ht="30" customHeight="1">
      <c r="A20" s="2" t="s">
        <v>148</v>
      </c>
      <c r="B20" s="2" t="s">
        <v>146</v>
      </c>
      <c r="C20" s="16">
        <v>2</v>
      </c>
      <c r="D20" s="73" t="s">
        <v>151</v>
      </c>
      <c r="E20" s="2"/>
      <c r="F20" s="2"/>
      <c r="G20" s="2"/>
      <c r="H20" s="2"/>
      <c r="I20" s="2"/>
      <c r="J20" s="2"/>
      <c r="K20" s="2"/>
      <c r="L20" s="2"/>
      <c r="M20" s="2"/>
    </row>
    <row r="21" spans="1:13" s="4" customFormat="1" ht="30" customHeight="1">
      <c r="A21" s="2" t="s">
        <v>149</v>
      </c>
      <c r="B21" s="2" t="s">
        <v>146</v>
      </c>
      <c r="C21" s="16">
        <v>2</v>
      </c>
      <c r="D21" s="73" t="s">
        <v>150</v>
      </c>
      <c r="E21" s="2"/>
      <c r="F21" s="2"/>
      <c r="G21" s="2"/>
      <c r="H21" s="2"/>
      <c r="I21" s="2"/>
      <c r="J21" s="2"/>
      <c r="K21" s="2"/>
      <c r="L21" s="2"/>
      <c r="M21" s="2"/>
    </row>
    <row r="22" spans="1:13" s="4" customFormat="1" ht="30" customHeight="1">
      <c r="A22" s="2" t="s">
        <v>153</v>
      </c>
      <c r="B22" s="2" t="s">
        <v>4</v>
      </c>
      <c r="C22" s="16">
        <v>1</v>
      </c>
      <c r="D22" s="73" t="s">
        <v>128</v>
      </c>
      <c r="E22" s="2"/>
      <c r="F22" s="2"/>
      <c r="G22" s="2"/>
      <c r="H22" s="2"/>
      <c r="I22" s="2"/>
      <c r="J22" s="2"/>
      <c r="K22" s="2"/>
      <c r="L22" s="2"/>
      <c r="M22" s="2"/>
    </row>
    <row r="23" spans="1:13" s="4" customFormat="1" ht="30" customHeight="1">
      <c r="A23" s="2" t="s">
        <v>154</v>
      </c>
      <c r="B23" s="2" t="s">
        <v>4</v>
      </c>
      <c r="C23" s="16">
        <v>1</v>
      </c>
      <c r="D23" s="73" t="s">
        <v>155</v>
      </c>
      <c r="E23" s="2"/>
      <c r="F23" s="2"/>
      <c r="G23" s="2"/>
      <c r="H23" s="2"/>
      <c r="I23" s="2"/>
      <c r="J23" s="2"/>
      <c r="K23" s="2"/>
      <c r="L23" s="2"/>
      <c r="M23" s="2"/>
    </row>
    <row r="24" spans="1:13" s="4" customFormat="1" ht="30" customHeight="1">
      <c r="A24" s="2" t="s">
        <v>156</v>
      </c>
      <c r="B24" s="2" t="s">
        <v>4</v>
      </c>
      <c r="C24" s="16">
        <v>1</v>
      </c>
      <c r="D24" s="73" t="s">
        <v>157</v>
      </c>
      <c r="E24" s="2"/>
      <c r="F24" s="2"/>
      <c r="G24" s="2"/>
      <c r="H24" s="2"/>
      <c r="I24" s="2"/>
      <c r="J24" s="2"/>
      <c r="K24" s="2"/>
      <c r="L24" s="2"/>
      <c r="M24" s="2"/>
    </row>
    <row r="25" spans="1:13" s="4" customFormat="1" ht="30" customHeight="1">
      <c r="A25" s="2" t="s">
        <v>158</v>
      </c>
      <c r="B25" s="2" t="s">
        <v>4</v>
      </c>
      <c r="C25" s="16">
        <v>1</v>
      </c>
      <c r="D25" s="73" t="s">
        <v>128</v>
      </c>
      <c r="E25" s="2"/>
      <c r="F25" s="2"/>
      <c r="G25" s="2"/>
      <c r="H25" s="2"/>
      <c r="I25" s="2"/>
      <c r="J25" s="2"/>
      <c r="K25" s="2"/>
      <c r="L25" s="2"/>
      <c r="M25" s="2"/>
    </row>
    <row r="26" spans="1:13" s="4" customFormat="1" ht="30" customHeight="1">
      <c r="A26" s="2" t="s">
        <v>159</v>
      </c>
      <c r="B26" s="2" t="s">
        <v>4</v>
      </c>
      <c r="C26" s="16">
        <v>1</v>
      </c>
      <c r="D26" s="73" t="s">
        <v>160</v>
      </c>
      <c r="E26" s="2"/>
      <c r="F26" s="2"/>
      <c r="G26" s="2"/>
      <c r="H26" s="2"/>
      <c r="I26" s="2"/>
      <c r="J26" s="2"/>
      <c r="K26" s="2"/>
      <c r="L26" s="2"/>
      <c r="M26" s="2"/>
    </row>
    <row r="27" spans="1:13" s="4" customFormat="1" ht="30" customHeight="1">
      <c r="A27" s="2" t="s">
        <v>161</v>
      </c>
      <c r="B27" s="2" t="s">
        <v>5</v>
      </c>
      <c r="C27" s="16">
        <v>1</v>
      </c>
      <c r="D27" s="73" t="s">
        <v>128</v>
      </c>
      <c r="E27" s="2"/>
      <c r="F27" s="2"/>
      <c r="G27" s="2"/>
      <c r="H27" s="2"/>
      <c r="I27" s="2"/>
      <c r="J27" s="2"/>
      <c r="K27" s="2"/>
      <c r="L27" s="2"/>
      <c r="M27" s="2"/>
    </row>
    <row r="28" spans="1:13" s="4" customFormat="1" ht="30" customHeight="1">
      <c r="A28" s="2" t="s">
        <v>162</v>
      </c>
      <c r="B28" s="2" t="s">
        <v>5</v>
      </c>
      <c r="C28" s="16">
        <v>1</v>
      </c>
      <c r="D28" s="73" t="s">
        <v>128</v>
      </c>
      <c r="E28" s="2"/>
      <c r="F28" s="2"/>
      <c r="G28" s="2"/>
      <c r="H28" s="2"/>
      <c r="I28" s="2"/>
      <c r="J28" s="2"/>
      <c r="K28" s="2"/>
      <c r="L28" s="2"/>
      <c r="M28" s="2"/>
    </row>
    <row r="29" spans="1:13" s="4" customFormat="1" ht="30" customHeight="1">
      <c r="A29" s="2" t="s">
        <v>163</v>
      </c>
      <c r="B29" s="2" t="s">
        <v>5</v>
      </c>
      <c r="C29" s="16">
        <v>1</v>
      </c>
      <c r="D29" s="73" t="s">
        <v>164</v>
      </c>
      <c r="E29" s="2"/>
      <c r="F29" s="2"/>
      <c r="G29" s="2"/>
      <c r="H29" s="2"/>
      <c r="I29" s="2"/>
      <c r="J29" s="2"/>
      <c r="K29" s="2"/>
      <c r="L29" s="2"/>
      <c r="M29" s="2"/>
    </row>
    <row r="30" spans="1:13" s="4" customFormat="1" ht="30" customHeight="1">
      <c r="A30" s="2" t="s">
        <v>156</v>
      </c>
      <c r="B30" s="2" t="s">
        <v>5</v>
      </c>
      <c r="C30" s="16">
        <v>1</v>
      </c>
      <c r="D30" s="73" t="s">
        <v>157</v>
      </c>
      <c r="E30" s="2"/>
      <c r="F30" s="2"/>
      <c r="G30" s="2"/>
      <c r="H30" s="2"/>
      <c r="I30" s="2"/>
      <c r="J30" s="2"/>
      <c r="K30" s="2"/>
      <c r="L30" s="2"/>
      <c r="M30" s="2"/>
    </row>
    <row r="31" spans="1:13" s="4" customFormat="1" ht="30" customHeight="1">
      <c r="A31" s="2" t="s">
        <v>165</v>
      </c>
      <c r="B31" s="2" t="s">
        <v>5</v>
      </c>
      <c r="C31" s="16">
        <v>1</v>
      </c>
      <c r="D31" s="73" t="s">
        <v>166</v>
      </c>
      <c r="E31" s="2"/>
      <c r="F31" s="2"/>
      <c r="G31" s="2"/>
      <c r="H31" s="2"/>
      <c r="I31" s="2"/>
      <c r="J31" s="2"/>
      <c r="K31" s="2"/>
      <c r="L31" s="2"/>
      <c r="M31" s="2"/>
    </row>
    <row r="32" spans="1:13" s="4" customFormat="1" ht="30" customHeight="1">
      <c r="A32" s="2" t="s">
        <v>153</v>
      </c>
      <c r="B32" s="2" t="s">
        <v>6</v>
      </c>
      <c r="C32" s="16">
        <v>1</v>
      </c>
      <c r="D32" s="73" t="s">
        <v>128</v>
      </c>
      <c r="E32" s="2"/>
      <c r="F32" s="2"/>
      <c r="G32" s="2"/>
      <c r="H32" s="2"/>
      <c r="I32" s="2"/>
      <c r="J32" s="2"/>
      <c r="K32" s="2"/>
      <c r="L32" s="2"/>
      <c r="M32" s="2"/>
    </row>
    <row r="33" spans="1:13" s="4" customFormat="1" ht="30" customHeight="1">
      <c r="A33" s="2" t="s">
        <v>162</v>
      </c>
      <c r="B33" s="2" t="s">
        <v>6</v>
      </c>
      <c r="C33" s="16">
        <v>1</v>
      </c>
      <c r="D33" s="73" t="s">
        <v>128</v>
      </c>
      <c r="E33" s="2"/>
      <c r="F33" s="2"/>
      <c r="G33" s="2"/>
      <c r="H33" s="2"/>
      <c r="I33" s="2"/>
      <c r="J33" s="2"/>
      <c r="K33" s="2"/>
      <c r="L33" s="2"/>
      <c r="M33" s="2"/>
    </row>
    <row r="34" spans="1:13" s="4" customFormat="1" ht="30" customHeight="1">
      <c r="A34" s="2" t="s">
        <v>158</v>
      </c>
      <c r="B34" s="2" t="s">
        <v>6</v>
      </c>
      <c r="C34" s="16">
        <v>1</v>
      </c>
      <c r="D34" s="73" t="s">
        <v>128</v>
      </c>
      <c r="E34" s="2"/>
      <c r="F34" s="2"/>
      <c r="G34" s="2"/>
      <c r="H34" s="2"/>
      <c r="I34" s="2"/>
      <c r="J34" s="2"/>
      <c r="K34" s="2"/>
      <c r="L34" s="2"/>
      <c r="M34" s="2"/>
    </row>
    <row r="35" spans="1:13" s="4" customFormat="1" ht="30" customHeight="1">
      <c r="A35" s="2" t="s">
        <v>159</v>
      </c>
      <c r="B35" s="2" t="s">
        <v>6</v>
      </c>
      <c r="C35" s="16">
        <v>1</v>
      </c>
      <c r="D35" s="73" t="s">
        <v>160</v>
      </c>
      <c r="E35" s="2"/>
      <c r="F35" s="2"/>
      <c r="G35" s="2"/>
      <c r="H35" s="2"/>
      <c r="I35" s="2"/>
      <c r="J35" s="2"/>
      <c r="K35" s="2"/>
      <c r="L35" s="2"/>
      <c r="M35" s="2"/>
    </row>
    <row r="36" spans="1:13" s="4" customFormat="1" ht="30" customHeight="1">
      <c r="A36" s="2" t="s">
        <v>167</v>
      </c>
      <c r="B36" s="2" t="s">
        <v>6</v>
      </c>
      <c r="C36" s="16">
        <v>1</v>
      </c>
      <c r="D36" s="73" t="s">
        <v>128</v>
      </c>
      <c r="E36" s="2"/>
      <c r="F36" s="2"/>
      <c r="G36" s="2"/>
      <c r="H36" s="2"/>
      <c r="I36" s="2"/>
      <c r="J36" s="2"/>
      <c r="K36" s="2"/>
      <c r="L36" s="2"/>
      <c r="M36" s="2"/>
    </row>
    <row r="37" spans="1:13" s="4" customFormat="1" ht="30" customHeight="1">
      <c r="A37" s="2" t="s">
        <v>198</v>
      </c>
      <c r="B37" s="2" t="s">
        <v>7</v>
      </c>
      <c r="C37" s="16">
        <v>2</v>
      </c>
      <c r="D37" s="73" t="s">
        <v>200</v>
      </c>
      <c r="E37" s="2"/>
      <c r="F37" s="2"/>
      <c r="G37" s="2"/>
      <c r="H37" s="2"/>
      <c r="I37" s="2"/>
      <c r="J37" s="2"/>
      <c r="K37" s="2"/>
      <c r="L37" s="2"/>
      <c r="M37" s="2"/>
    </row>
    <row r="38" spans="1:13" s="4" customFormat="1" ht="30" customHeight="1">
      <c r="A38" s="2" t="s">
        <v>199</v>
      </c>
      <c r="B38" s="2" t="s">
        <v>7</v>
      </c>
      <c r="C38" s="16">
        <v>2</v>
      </c>
      <c r="D38" s="73" t="s">
        <v>200</v>
      </c>
      <c r="E38" s="2"/>
      <c r="F38" s="2"/>
      <c r="G38" s="2"/>
      <c r="H38" s="2"/>
      <c r="I38" s="2"/>
      <c r="J38" s="2"/>
      <c r="K38" s="2"/>
      <c r="L38" s="2"/>
      <c r="M38" s="2"/>
    </row>
    <row r="39" spans="1:13" s="4" customFormat="1" ht="30" customHeight="1">
      <c r="A39" s="2" t="s">
        <v>201</v>
      </c>
      <c r="B39" s="2" t="s">
        <v>7</v>
      </c>
      <c r="C39" s="16">
        <v>2</v>
      </c>
      <c r="D39" s="73" t="s">
        <v>200</v>
      </c>
      <c r="E39" s="2"/>
      <c r="F39" s="2"/>
      <c r="G39" s="2"/>
      <c r="H39" s="2"/>
      <c r="I39" s="2"/>
      <c r="J39" s="2"/>
      <c r="K39" s="2"/>
      <c r="L39" s="2"/>
      <c r="M39" s="2"/>
    </row>
    <row r="40" spans="1:13" s="4" customFormat="1" ht="30" customHeight="1">
      <c r="A40" s="2" t="s">
        <v>202</v>
      </c>
      <c r="B40" s="2" t="s">
        <v>7</v>
      </c>
      <c r="C40" s="16">
        <v>2</v>
      </c>
      <c r="D40" s="73" t="s">
        <v>200</v>
      </c>
      <c r="E40" s="2"/>
      <c r="F40" s="2"/>
      <c r="G40" s="2"/>
      <c r="H40" s="2"/>
      <c r="I40" s="2"/>
      <c r="J40" s="2"/>
      <c r="K40" s="2"/>
      <c r="L40" s="2"/>
      <c r="M40" s="2"/>
    </row>
    <row r="41" spans="1:13" s="4" customFormat="1" ht="30" customHeight="1">
      <c r="A41" s="2"/>
      <c r="B41" s="2"/>
      <c r="C41" s="16"/>
      <c r="D41" s="73"/>
      <c r="E41" s="2"/>
      <c r="F41" s="2"/>
      <c r="G41" s="2"/>
      <c r="H41" s="2"/>
      <c r="I41" s="2"/>
      <c r="J41" s="2"/>
      <c r="K41" s="2"/>
      <c r="L41" s="2"/>
      <c r="M41" s="2"/>
    </row>
    <row r="42" spans="1:13" s="4" customFormat="1" ht="30" customHeight="1">
      <c r="A42" s="2"/>
      <c r="B42" s="2"/>
      <c r="C42" s="16"/>
      <c r="D42" s="73"/>
      <c r="E42" s="2"/>
      <c r="F42" s="2"/>
      <c r="G42" s="2"/>
      <c r="H42" s="2"/>
      <c r="I42" s="2"/>
      <c r="J42" s="2"/>
      <c r="K42" s="2"/>
      <c r="L42" s="2"/>
      <c r="M42" s="2"/>
    </row>
    <row r="43" spans="1:13" s="4" customFormat="1" ht="30" customHeight="1">
      <c r="A43" s="2"/>
      <c r="B43" s="2"/>
      <c r="C43" s="16"/>
      <c r="D43" s="73"/>
      <c r="E43" s="2"/>
      <c r="F43" s="2"/>
      <c r="G43" s="2"/>
      <c r="H43" s="2"/>
      <c r="I43" s="2"/>
      <c r="J43" s="2"/>
      <c r="K43" s="2"/>
      <c r="L43" s="2"/>
      <c r="M43" s="2"/>
    </row>
    <row r="44" spans="1:13" s="4" customFormat="1" ht="30" customHeight="1">
      <c r="A44" s="2"/>
      <c r="B44" s="2"/>
      <c r="C44" s="16"/>
      <c r="D44" s="73"/>
      <c r="E44" s="2"/>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2025-02-10T02:07:05Z</dcterms:modified>
</cp:coreProperties>
</file>