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F292DC54-6FF5-8C4C-B5F0-A1A5F5EE3D5D}" xr6:coauthVersionLast="47" xr6:coauthVersionMax="47" xr10:uidLastSave="{00000000-0000-0000-0000-000000000000}"/>
  <bookViews>
    <workbookView xWindow="0" yWindow="760" windowWidth="30240" windowHeight="17380"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Table'!$A$1:$E$40</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I3"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R5" i="6" s="1"/>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8" i="3"/>
  <c r="B7" i="3"/>
  <c r="B6" i="3"/>
  <c r="B5" i="3"/>
  <c r="B4" i="3"/>
  <c r="R9" i="4" l="1"/>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<sst xmlns="http://schemas.openxmlformats.org/spreadsheetml/2006/main" count="726" uniqueCount="206">
  <si>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</si>
  <si>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</si>
  <si>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</si>
  <si>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</si>
  <si>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</si>
  <si>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</si>
  <si>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</si>
  <si>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</si>
  <si>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</si>
  <si>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</si>
  <si>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</si>
  <si>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</si>
  <si>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</si>
  <si>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</si>
  <si>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</si>
  <si>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</si>
  <si>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</si>
  <si>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</si>
  <si>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</si>
  <si>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</si>
  <si>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</si>
  <si>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</si>
  <si>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</si>
  <si>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</si>
  <si>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</si>
  <si>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</si>
  <si>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</si>
  <si>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</si>
  <si>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</si>
  <si>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</si>
  <si>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</si>
  <si>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</si>
  <si>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</si>
  <si>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</si>
  <si>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</si>
  <si>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</si>
  <si>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</si>
  <si>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</si>
  <si>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</si>
  <si>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</si>
  <si>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</si>
  <si>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</si>
  <si>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</si>
  <si>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</si>
  <si>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</si>
  <si>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</si>
  <si>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</si>
  <si>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</si>
  <si>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</si>
  <si>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</si>
  <si>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</si>
  <si>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</si>
  <si>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</si>
  <si>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</si>
  <si>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</si>
  <si>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</si>
  <si>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</si>
  <si>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</si>
  <si>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</si>
  <si>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</si>
  <si>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</si>
  <si>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</si>
  <si>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</si>
  <si>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</si>
  <si>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</si>
  <si>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</si>
  <si>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</si>
  <si>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</si>
  <si>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</si>
  <si>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Choose 5 dynamic drills and complete. Make sure to finish with leg swings.</t>
  </si>
  <si>
    <t>2x 100M strides.</t>
  </si>
  <si>
    <t>4x 30M flys, with 20M run in/out. Sprint form, 100% relaxed effort.</t>
  </si>
  <si>
    <t>Change into spike for 30M flys.</t>
  </si>
  <si>
    <t>Areobic Running</t>
  </si>
  <si>
    <t>(in minutes)</t>
  </si>
  <si>
    <t>(in miles)</t>
  </si>
  <si>
    <t>Totals:</t>
  </si>
  <si>
    <t>Standard hurdle drills.</t>
  </si>
  <si>
    <t>Tuesday</t>
  </si>
  <si>
    <t>Choose 5 dynamic drills and complete.</t>
  </si>
  <si>
    <t>Standard easy run.</t>
  </si>
  <si>
    <t>4x 100M strides, fast and relaxed.</t>
  </si>
  <si>
    <t>Wednesday</t>
  </si>
  <si>
    <t xml:space="preserve">Choose 5 dynamic drills and complete. </t>
  </si>
  <si>
    <t>Thursday</t>
  </si>
  <si>
    <t>4-6x 100M strides.</t>
  </si>
  <si>
    <t>Friday</t>
  </si>
  <si>
    <t>Long Run</t>
  </si>
  <si>
    <t>Do some gentle stretching after completing your 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</si>
  <si>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</si>
  <si>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</si>
  <si>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</si>
  <si>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</si>
  <si>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</si>
  <si>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</si>
  <si>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</si>
  <si>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</si>
  <si>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</si>
  <si>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</si>
  <si>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</si>
  <si>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</si>
  <si>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</si>
  <si>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</si>
  <si>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</si>
  <si>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</si>
  <si>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</si>
  <si>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</si>
  <si>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</si>
  <si>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</si>
  <si>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</si>
  <si>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</si>
  <si>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</si>
  <si>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</si>
  <si>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</si>
  <si>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</si>
  <si>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</si>
  <si>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</si>
  <si>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</si>
  <si>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</si>
  <si>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</si>
  <si>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</si>
  <si>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</si>
  <si>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</si>
  <si>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</si>
  <si>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</si>
  <si>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</si>
  <si>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</si>
  <si>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</si>
  <si>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</si>
  <si>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</si>
  <si>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</si>
  <si>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</si>
  <si>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</si>
  <si>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</si>
  <si>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</si>
  <si>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</si>
  <si>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</si>
  <si>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</si>
  <si>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</si>
  <si>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</si>
  <si>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</si>
  <si>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</si>
  <si>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</si>
  <si>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</si>
  <si>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</si>
  <si>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</si>
  <si>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</si>
  <si>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</si>
  <si>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</si>
  <si>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</si>
  <si>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</si>
  <si>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</si>
  <si>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</si>
  <si>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</si>
  <si>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</si>
  <si>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</si>
  <si>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</si>
  <si>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</si>
  <si>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</si>
  <si>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</si>
  <si>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</si>
  <si>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</si>
  <si>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</si>
  <si>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</si>
  <si>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</si>
  <si>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</si>
  <si>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</si>
  <si>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</si>
  <si>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</si>
  <si>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</si>
  <si>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</si>
  <si>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</si>
  <si>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</si>
  <si>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</si>
  <si>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</si>
  <si>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</si>
  <si>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</si>
  <si>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</si>
  <si>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</si>
  <si>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</si>
  <si>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</si>
  <si>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</si>
  <si>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Standard hurdle mobility drills.</t>
  </si>
  <si>
    <t>Location</t>
  </si>
  <si>
    <t>Push-Ups</t>
  </si>
  <si>
    <t>Pull-Ups</t>
  </si>
  <si>
    <t>Until failure</t>
  </si>
  <si>
    <t>Dips</t>
  </si>
  <si>
    <t>Pike Push-Ups</t>
  </si>
  <si>
    <t>800-1200M easy jog warm-up.</t>
  </si>
  <si>
    <t>Change into trainers for easy run.</t>
  </si>
  <si>
    <t>10-60 minute easy run.</t>
  </si>
  <si>
    <t>10-60 minute standard easy run.</t>
  </si>
  <si>
    <t>6-8x 100M strides.</t>
  </si>
  <si>
    <t>800M-1.5M easy warm-up.</t>
  </si>
  <si>
    <t>5 dyanmic drills.</t>
  </si>
  <si>
    <t>Change into workout shoes.</t>
  </si>
  <si>
    <t>Mona Fartlek. 2x(90" @3K/90" @ SubT), 4x(1' @ 3K,1' @ SubT), 4x(30" @ 3K, @ SubT), 4x(15" @ 3K, 15" @ SubT). If necessary, put 30" walking rest in between sets.</t>
  </si>
  <si>
    <t>5 minute easy jog.</t>
  </si>
  <si>
    <t>Change into spikes for 1600M pace work.</t>
  </si>
  <si>
    <t>5-15 minute easy cool down.</t>
  </si>
  <si>
    <t>6x 100M strides.</t>
  </si>
  <si>
    <t>30 minute SubT during long run, optional for experienced runners.</t>
  </si>
  <si>
    <t>20-60 minute long run. Standard long run pace. For experienced athletes, the long run will include UP TO 30 minutes of SubT, for a total long run of UP TO 90 minutes.</t>
  </si>
  <si>
    <t>We're starting to shift in our training. Tuesday is the first day of track practice, and we'll focus on learning drills and strides for new runners, along with some easy running.  Wednesday's workout will be a 5K-type workout.  Saturday's long run will include a SubT component for experienced runners.</t>
  </si>
  <si>
    <t>4x 150M @ goal 1600M pace. Easy jog 250M.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</si>
</sst>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0" totalsRowShown="0" headerRowDxfId="1117" headerRowBorderDxfId="1116" tableBorderDxfId="1115" totalsRowBorderDxfId="1114">
  <autoFilter ref="A1:C30"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0" totalsRowShown="0" headerRowDxfId="1110" dataDxfId="1109">
  <autoFilter ref="A1:E40"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tabSelected="1" zoomScale="140" zoomScaleNormal="140" workbookViewId="0">
      <selection activeCell="I8" sqref="I8"/>
    </sheetView>
  </sheetViews>
  <sheetFormatPr baseColWidth="10" defaultRowHeight="17"/>
  <cols>
    <col min="1" max="1" width="25.1640625" style="2" customWidth="1"/>
    <col min="2" max="3" width="18.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93</v>
      </c>
      <c r="B1" s="52" t="s">
        <v>166</v>
      </c>
      <c r="C1" s="52" t="s">
        <v>95</v>
      </c>
      <c r="D1" s="15"/>
      <c r="E1" s="76"/>
      <c r="H1" s="79" t="s">
        <v>100</v>
      </c>
      <c r="I1" s="79"/>
      <c r="J1" s="79"/>
      <c r="K1" s="79"/>
    </row>
    <row r="2" spans="1:16" ht="22" customHeight="1">
      <c r="A2" s="6" t="s">
        <v>91</v>
      </c>
      <c r="B2" s="49" t="str">
        <f>O2&amp;" hours "&amp;(O3-O2)*(60)&amp; " minutes"</f>
        <v>2 hours 43.5 minutes</v>
      </c>
      <c r="C2" s="49" t="str">
        <f>P2&amp;" hours "&amp;ROUND((P3-P2)*(60),2)&amp; " minutes"</f>
        <v>5 hours 47.5 minutes</v>
      </c>
      <c r="H2" s="51" t="s">
        <v>101</v>
      </c>
      <c r="I2" s="51" t="s">
        <v>102</v>
      </c>
      <c r="J2" s="51" t="s">
        <v>97</v>
      </c>
      <c r="K2" s="51" t="s">
        <v>96</v>
      </c>
      <c r="O2" s="50">
        <f>INT((Monday!$M$10+Tuesday!$M$10+Wednesday!$M$10+Thursday!$M$10+Friday!$M$10+Saturday!$M$10)/(60))</f>
        <v>2</v>
      </c>
      <c r="P2" s="50">
        <f>INT((Monday!$N$10+Tuesday!$N$10+Wednesday!$N$10+Thursday!$N$10+Friday!$N$10+Saturday!$N$10)/(60))</f>
        <v>5</v>
      </c>
    </row>
    <row r="3" spans="1:16" ht="22" customHeight="1">
      <c r="A3" s="6" t="s">
        <v>92</v>
      </c>
      <c r="B3" s="23" t="str">
        <f>(Monday!Q10+Tuesday!Q10+Wednesday!Q10+Thursday!Q10+Friday!Q10+Saturday!Q10)&amp;" miles"</f>
        <v>18.8 miles</v>
      </c>
      <c r="C3" s="23" t="str">
        <f>(Monday!$R$10+Tuesday!$R$10+Wednesday!$R$10+Thursday!$R$10+Friday!$R$10+Saturday!$R$10)&amp;" miles"</f>
        <v>56.65 miles</v>
      </c>
      <c r="H3" s="6" t="s">
        <v>59</v>
      </c>
      <c r="I3" s="6" t="str">
        <f>Monday!C1</f>
        <v>Easy Run</v>
      </c>
      <c r="J3" s="6" t="s">
        <v>7</v>
      </c>
      <c r="O3" s="2">
        <f>(Monday!$M$10+Tuesday!$M$10+Wednesday!$M$10+Thursday!$M$10+Friday!$M$10+Saturday!$M$10)/(60)</f>
        <v>2.7250000000000001</v>
      </c>
      <c r="P3" s="2">
        <f>(Monday!$N$10+Tuesday!$N$10+Wednesday!$N$10+Thursday!$N$10+Friday!$N$10+Saturday!$N$10)/(60)</f>
        <v>5.791666666666667</v>
      </c>
    </row>
    <row r="4" spans="1:16" ht="22" customHeight="1">
      <c r="H4" s="6" t="s">
        <v>78</v>
      </c>
      <c r="I4" s="6" t="s">
        <v>104</v>
      </c>
      <c r="J4" s="6"/>
      <c r="K4" s="6" t="s">
        <v>4</v>
      </c>
    </row>
    <row r="5" spans="1:16" ht="22" customHeight="1">
      <c r="A5" s="51" t="s">
        <v>98</v>
      </c>
      <c r="B5" s="52" t="s">
        <v>94</v>
      </c>
      <c r="C5" s="52" t="s">
        <v>95</v>
      </c>
      <c r="D5" s="53" t="s">
        <v>163</v>
      </c>
      <c r="E5" s="52" t="s">
        <v>164</v>
      </c>
      <c r="F5" s="53" t="s">
        <v>165</v>
      </c>
      <c r="H5" s="6" t="s">
        <v>82</v>
      </c>
      <c r="I5" s="6" t="s">
        <v>106</v>
      </c>
      <c r="J5" s="6" t="s">
        <v>9</v>
      </c>
      <c r="K5" s="6"/>
    </row>
    <row r="6" spans="1:16" ht="22" customHeight="1">
      <c r="A6" s="54" t="s">
        <v>17</v>
      </c>
      <c r="B6" s="55">
        <f>TIME(,(Monday!M4+Tuesday!M4+Wednesday!M4+Thursday!M4+Friday!M4+Saturday!M4),)</f>
        <v>6.5972222222222224E-2</v>
      </c>
      <c r="C6" s="55">
        <f>TIME(,(Monday!N4+Tuesday!N4+Wednesday!N4+Thursday!N4+Friday!N4+Saturday!N4),)</f>
        <v>0.19027777777777777</v>
      </c>
      <c r="D6" s="56">
        <f t="shared" ref="D6:D11" si="0">(B6/SUM($B$6:$B$11))</f>
        <v>0.58282208588957052</v>
      </c>
      <c r="E6" s="56">
        <f>(C6/SUM($C$6:$C$11))</f>
        <v>0.78962536023054752</v>
      </c>
      <c r="F6" s="56">
        <f>(D6+E6)/2</f>
        <v>0.68622372306005897</v>
      </c>
      <c r="H6" s="6" t="s">
        <v>84</v>
      </c>
      <c r="I6" s="6" t="s">
        <v>108</v>
      </c>
      <c r="J6" s="6"/>
      <c r="K6" s="6" t="s">
        <v>5</v>
      </c>
    </row>
    <row r="7" spans="1:16" ht="22" customHeight="1">
      <c r="A7" s="29" t="s">
        <v>34</v>
      </c>
      <c r="B7" s="57">
        <f>TIME(,(Monday!M5+Tuesday!M5+Wednesday!M5+Thursday!M5+Friday!M5+Saturday!M5),)</f>
        <v>6.9444444444444441E-3</v>
      </c>
      <c r="C7" s="57">
        <f>TIME(,(Monday!N5+Tuesday!N5+Wednesday!N5+Thursday!N5+Friday!N5+Saturday!N5),)</f>
        <v>7.6388888888888886E-3</v>
      </c>
      <c r="D7" s="58">
        <f t="shared" si="0"/>
        <v>6.1349693251533742E-2</v>
      </c>
      <c r="E7" s="58">
        <f t="shared" ref="E7:E11" si="1">(C7/SUM($C$6:$C$11))</f>
        <v>3.1700288184438041E-2</v>
      </c>
      <c r="F7" s="58">
        <f t="shared" ref="F7:F11" si="2">(D7+E7)/2</f>
        <v>4.6524990717985895E-2</v>
      </c>
      <c r="H7" s="6" t="s">
        <v>86</v>
      </c>
      <c r="I7" s="6" t="s">
        <v>104</v>
      </c>
      <c r="J7" s="6"/>
      <c r="K7" s="2" t="s">
        <v>6</v>
      </c>
    </row>
    <row r="8" spans="1:16" ht="22" customHeight="1">
      <c r="A8" s="59" t="s">
        <v>22</v>
      </c>
      <c r="B8" s="60">
        <f>TIME(,(Monday!M6+Tuesday!M6+Wednesday!M6+Thursday!M6+Friday!M6+Saturday!M6),)</f>
        <v>2.0833333333333332E-2</v>
      </c>
      <c r="C8" s="60">
        <f>TIME(,(Monday!N6+Tuesday!N6+Wednesday!N6+Thursday!N6+Friday!N6+Saturday!N6),)</f>
        <v>2.0833333333333332E-2</v>
      </c>
      <c r="D8" s="61">
        <f t="shared" si="0"/>
        <v>0.18404907975460122</v>
      </c>
      <c r="E8" s="61">
        <f t="shared" si="1"/>
        <v>8.6455331412103736E-2</v>
      </c>
      <c r="F8" s="61">
        <f t="shared" si="2"/>
        <v>0.13525220558335249</v>
      </c>
      <c r="H8" s="6" t="s">
        <v>90</v>
      </c>
      <c r="I8" s="6" t="str">
        <f>Saturday!C1</f>
        <v>Long Run</v>
      </c>
      <c r="J8" s="6" t="s">
        <v>140</v>
      </c>
      <c r="K8" s="6"/>
    </row>
    <row r="9" spans="1:16" ht="22" customHeight="1">
      <c r="A9" s="62" t="s">
        <v>1</v>
      </c>
      <c r="B9" s="63">
        <f>TIME(,(Monday!M7+Tuesday!M7+Wednesday!M7+Thursday!M7+Friday!M7+Saturday!M7),)</f>
        <v>1.3888888888888888E-2</v>
      </c>
      <c r="C9" s="63">
        <f>TIME(,(Monday!N7+Tuesday!N7+Wednesday!N7+Thursday!N7+Friday!N7+Saturday!N7),)</f>
        <v>1.3888888888888888E-2</v>
      </c>
      <c r="D9" s="64">
        <f t="shared" si="0"/>
        <v>0.12269938650306748</v>
      </c>
      <c r="E9" s="64">
        <f t="shared" si="1"/>
        <v>5.7636887608069162E-2</v>
      </c>
      <c r="F9" s="64">
        <f t="shared" si="2"/>
        <v>9.0168137055568323E-2</v>
      </c>
      <c r="H9" s="6" t="s">
        <v>103</v>
      </c>
      <c r="I9" s="6" t="s">
        <v>109</v>
      </c>
      <c r="J9" s="6"/>
      <c r="K9" s="6"/>
    </row>
    <row r="10" spans="1:16" ht="22" customHeight="1">
      <c r="A10" s="66" t="s">
        <v>2</v>
      </c>
      <c r="B10" s="67">
        <f>TIME(,(Monday!M8+Tuesday!M8+Wednesday!M8+Thursday!M8+Friday!M8+Saturday!M8),)</f>
        <v>5.5555555555555558E-3</v>
      </c>
      <c r="C10" s="67">
        <f>TIME(,(Monday!N8+Tuesday!N8+Wednesday!N8+Thursday!N8+Friday!N8+Saturday!N8),)</f>
        <v>8.3333333333333332E-3</v>
      </c>
      <c r="D10" s="68">
        <f t="shared" si="0"/>
        <v>4.9079754601226995E-2</v>
      </c>
      <c r="E10" s="68">
        <f t="shared" si="1"/>
        <v>3.4582132564841495E-2</v>
      </c>
      <c r="F10" s="68">
        <f t="shared" si="2"/>
        <v>4.1830943583034241E-2</v>
      </c>
    </row>
    <row r="11" spans="1:16" ht="22" customHeight="1">
      <c r="A11" s="69" t="s">
        <v>3</v>
      </c>
      <c r="B11" s="71">
        <f>TIME(,(Monday!M9+Tuesday!M9+Wednesday!M9+Thursday!M9+Friday!M9+Saturday!M9),)</f>
        <v>0</v>
      </c>
      <c r="C11" s="71">
        <f>TIME(,(Monday!N9+Tuesday!N9+Wednesday!N9+Thursday!N9+Friday!N9+Saturday!N9),)</f>
        <v>0</v>
      </c>
      <c r="D11" s="70">
        <f t="shared" si="0"/>
        <v>0</v>
      </c>
      <c r="E11" s="70">
        <f t="shared" si="1"/>
        <v>0</v>
      </c>
      <c r="F11" s="70">
        <f t="shared" si="2"/>
        <v>0</v>
      </c>
      <c r="H11" s="81" t="s">
        <v>167</v>
      </c>
      <c r="I11" s="81"/>
      <c r="J11" s="81"/>
      <c r="K11" s="81"/>
    </row>
    <row r="12" spans="1:16" ht="22" customHeight="1">
      <c r="H12" s="80" t="s">
        <v>204</v>
      </c>
      <c r="I12" s="80"/>
      <c r="J12" s="80"/>
      <c r="K12" s="80"/>
    </row>
    <row r="13" spans="1:16" ht="22" customHeight="1">
      <c r="A13" s="51" t="s">
        <v>99</v>
      </c>
      <c r="B13" s="52" t="s">
        <v>94</v>
      </c>
      <c r="C13" s="52" t="s">
        <v>95</v>
      </c>
      <c r="D13" s="53" t="s">
        <v>163</v>
      </c>
      <c r="E13" s="52" t="s">
        <v>164</v>
      </c>
      <c r="F13" s="53" t="s">
        <v>165</v>
      </c>
      <c r="H13" s="80"/>
      <c r="I13" s="80"/>
      <c r="J13" s="80"/>
      <c r="K13" s="80"/>
    </row>
    <row r="14" spans="1:16" ht="22" customHeight="1">
      <c r="A14" s="54" t="s">
        <v>17</v>
      </c>
      <c r="B14" s="28">
        <f>Monday!Q4+Tuesday!Q4+Wednesday!Q4+Thursday!Q4+Friday!Q4+Saturday!Q4</f>
        <v>9.8000000000000007</v>
      </c>
      <c r="C14" s="28">
        <f>Monday!R4+Tuesday!R4+Wednesday!R4+Thursday!R4+Friday!R4+Saturday!R4</f>
        <v>44.25</v>
      </c>
      <c r="D14" s="56">
        <f>B14/(SUM($B$14:$B$19))</f>
        <v>0.52127659574468077</v>
      </c>
      <c r="E14" s="56">
        <f>C14/(SUM($C$14:$C$19))</f>
        <v>0.78111209179170349</v>
      </c>
      <c r="F14" s="56">
        <f t="shared" ref="F14:F19" si="3">(D14+E14)/2</f>
        <v>0.65119434376819219</v>
      </c>
      <c r="H14" s="80"/>
      <c r="I14" s="80"/>
      <c r="J14" s="80"/>
      <c r="K14" s="80"/>
    </row>
    <row r="15" spans="1:16" ht="22" customHeight="1">
      <c r="A15" s="29" t="s">
        <v>34</v>
      </c>
      <c r="B15" s="30">
        <f>Monday!Q5+Tuesday!Q5+Wednesday!Q5+Thursday!Q5+Friday!Q5+Saturday!Q5</f>
        <v>2.4</v>
      </c>
      <c r="C15" s="30">
        <f>Monday!R5+Tuesday!R5+Wednesday!R5+Thursday!R5+Friday!R5+Saturday!R5</f>
        <v>2.8</v>
      </c>
      <c r="D15" s="58">
        <f t="shared" ref="D15:D19" si="4">B15/(SUM($B$14:$B$19))</f>
        <v>0.12765957446808507</v>
      </c>
      <c r="E15" s="58">
        <f t="shared" ref="E15:E19" si="5">C15/(SUM($C$14:$C$19))</f>
        <v>4.9426301853486315E-2</v>
      </c>
      <c r="F15" s="58">
        <f t="shared" si="3"/>
        <v>8.8542938160785692E-2</v>
      </c>
      <c r="H15" s="80"/>
      <c r="I15" s="80"/>
      <c r="J15" s="80"/>
      <c r="K15" s="80"/>
    </row>
    <row r="16" spans="1:16" ht="22" customHeight="1">
      <c r="A16" s="59" t="s">
        <v>22</v>
      </c>
      <c r="B16" s="32">
        <f>Monday!Q6+Tuesday!Q6+Wednesday!Q6+Thursday!Q6+Friday!Q6+Saturday!Q6</f>
        <v>3.5</v>
      </c>
      <c r="C16" s="32">
        <f>Monday!R6+Tuesday!R6+Wednesday!R6+Thursday!R6+Friday!R6+Saturday!R6</f>
        <v>5</v>
      </c>
      <c r="D16" s="61">
        <f t="shared" si="4"/>
        <v>0.18617021276595741</v>
      </c>
      <c r="E16" s="61">
        <f t="shared" si="5"/>
        <v>8.8261253309797005E-2</v>
      </c>
      <c r="F16" s="61">
        <f t="shared" si="3"/>
        <v>0.13721573303787721</v>
      </c>
      <c r="H16" s="80"/>
      <c r="I16" s="80"/>
      <c r="J16" s="80"/>
      <c r="K16" s="80"/>
    </row>
    <row r="17" spans="1:11" ht="22" customHeight="1">
      <c r="A17" s="62" t="s">
        <v>1</v>
      </c>
      <c r="B17" s="65">
        <f>Monday!Q7+Tuesday!Q7+Wednesday!Q7+Thursday!Q7+Friday!Q7+Saturday!Q7</f>
        <v>2</v>
      </c>
      <c r="C17" s="65">
        <f>Monday!R7+Tuesday!R7+Wednesday!R7+Thursday!R7+Friday!R7+Saturday!R7</f>
        <v>3.5</v>
      </c>
      <c r="D17" s="64">
        <f t="shared" si="4"/>
        <v>0.10638297872340423</v>
      </c>
      <c r="E17" s="64">
        <f t="shared" si="5"/>
        <v>6.1782877316857901E-2</v>
      </c>
      <c r="F17" s="64">
        <f t="shared" si="3"/>
        <v>8.4082928020131065E-2</v>
      </c>
      <c r="H17" s="80"/>
      <c r="I17" s="80"/>
      <c r="J17" s="80"/>
      <c r="K17" s="80"/>
    </row>
    <row r="18" spans="1:11" ht="22" customHeight="1">
      <c r="A18" s="66" t="s">
        <v>2</v>
      </c>
      <c r="B18" s="34">
        <f>Monday!Q8+Tuesday!Q8+Wednesday!Q8+Thursday!Q8+Friday!Q8+Saturday!Q8</f>
        <v>1</v>
      </c>
      <c r="C18" s="34">
        <f>Monday!R8+Tuesday!R8+Wednesday!R8+Thursday!R8+Friday!R8+Saturday!R8</f>
        <v>1</v>
      </c>
      <c r="D18" s="68">
        <f t="shared" si="4"/>
        <v>5.3191489361702114E-2</v>
      </c>
      <c r="E18" s="68">
        <f t="shared" si="5"/>
        <v>1.7652250661959402E-2</v>
      </c>
      <c r="F18" s="68">
        <f t="shared" si="3"/>
        <v>3.542187001183076E-2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5.3191489361702118E-3</v>
      </c>
      <c r="E19" s="70">
        <f t="shared" si="5"/>
        <v>1.76522506619594E-3</v>
      </c>
      <c r="F19" s="70">
        <f t="shared" si="3"/>
        <v>3.5421870011830758E-3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B2" sqref="B2:B3"/>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45704</v>
      </c>
      <c r="C1" s="20" t="s">
        <v>104</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74</v>
      </c>
      <c r="N2" s="84"/>
      <c r="O2" s="84"/>
      <c r="P2" s="84"/>
      <c r="Q2" s="82" t="s">
        <v>75</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19</v>
      </c>
      <c r="B4" s="6" t="str">
        <f>_xlfn.XLOOKUP(A4,TrainingTable[Training Component],TrainingTable[Category of Training Stimulus],"")</f>
        <v>Stretching and Mobility</v>
      </c>
      <c r="C4" s="6" t="s">
        <v>55</v>
      </c>
      <c r="D4" s="6" t="s">
        <v>67</v>
      </c>
      <c r="E4" s="83" t="s">
        <v>79</v>
      </c>
      <c r="F4" s="83"/>
      <c r="G4" s="23">
        <v>5</v>
      </c>
      <c r="H4" s="23">
        <v>5</v>
      </c>
      <c r="I4" s="23">
        <v>0</v>
      </c>
      <c r="J4" s="23">
        <v>0</v>
      </c>
      <c r="L4" s="27" t="s">
        <v>73</v>
      </c>
      <c r="M4" s="28">
        <f>SUMIF(Monday_Training_Category,"Aerobic Running",Monday_Training_Time_Lower)</f>
        <v>20</v>
      </c>
      <c r="N4" s="28">
        <f>SUMIF(Monday_Training_Category,"Aerobic Running",Monday_Training_Time_Upper)</f>
        <v>60</v>
      </c>
      <c r="O4" s="39">
        <f t="shared" ref="O4:O9" si="0">M4/$M$10</f>
        <v>0.95238095238095233</v>
      </c>
      <c r="P4" s="39">
        <f t="shared" ref="P4:P10" si="1">N4/$N$10</f>
        <v>0.98360655737704916</v>
      </c>
      <c r="Q4" s="28">
        <f>SUMIF(Monday_Training_Category,"Aerobic Running",Monday_Training_Distance_Lower)</f>
        <v>2</v>
      </c>
      <c r="R4" s="28">
        <f>SUMIF(Monday_Training_Category,"Aerobic Running",Monday_Training_Distance_Upper)</f>
        <v>8</v>
      </c>
      <c r="S4" s="39">
        <f>Q4/$Q$10</f>
        <v>0.83333333333333337</v>
      </c>
      <c r="T4" s="39">
        <f>R4/$R$10</f>
        <v>0.95238095238095233</v>
      </c>
    </row>
    <row r="5" spans="1:20" s="2" customFormat="1" ht="50" customHeight="1">
      <c r="A5" s="6" t="s">
        <v>0</v>
      </c>
      <c r="B5" s="6" t="str">
        <f>_xlfn.XLOOKUP(A5,TrainingTable[Training Component],TrainingTable[Category of Training Stimulus],"")</f>
        <v>Aerobic Running</v>
      </c>
      <c r="C5" s="6" t="s">
        <v>55</v>
      </c>
      <c r="D5" s="6" t="s">
        <v>67</v>
      </c>
      <c r="E5" s="83" t="s">
        <v>80</v>
      </c>
      <c r="F5" s="83"/>
      <c r="G5" s="23">
        <v>20</v>
      </c>
      <c r="H5" s="23">
        <v>60</v>
      </c>
      <c r="I5" s="23">
        <v>2</v>
      </c>
      <c r="J5" s="23">
        <v>8</v>
      </c>
      <c r="L5" s="29" t="s">
        <v>34</v>
      </c>
      <c r="M5" s="30">
        <f>SUMIF(Monday_Training_Category,"Turnover and Pace Work",Monday_Training_Time_Lower)</f>
        <v>1</v>
      </c>
      <c r="N5" s="30">
        <f>SUMIF(Monday_Training_Category,"Turnover and Pace Work",Monday_Training_Time_Upper)</f>
        <v>1</v>
      </c>
      <c r="O5" s="40">
        <f t="shared" si="0"/>
        <v>4.7619047619047616E-2</v>
      </c>
      <c r="P5" s="40">
        <f t="shared" si="1"/>
        <v>1.6393442622950821E-2</v>
      </c>
      <c r="Q5" s="30">
        <f>SUMIF(Monday_Training_Category,"Turnover and Pace Work",Monday_Training_Distance_Lower)</f>
        <v>0.4</v>
      </c>
      <c r="R5" s="30">
        <f>SUMIF(Monday_Training_Category,"Turnover and Pace Work",Monday_Training_Distance_Upper)</f>
        <v>0.4</v>
      </c>
      <c r="S5" s="40">
        <f t="shared" ref="S5:S10" si="2">Q5/$Q$10</f>
        <v>0.16666666666666669</v>
      </c>
      <c r="T5" s="40">
        <f t="shared" ref="T5:T10" si="3">R5/$R$10</f>
        <v>4.7619047619047616E-2</v>
      </c>
    </row>
    <row r="6" spans="1:20" s="2" customFormat="1" ht="50" customHeight="1">
      <c r="A6" s="6" t="s">
        <v>42</v>
      </c>
      <c r="B6" s="6" t="str">
        <f>_xlfn.XLOOKUP(A6,TrainingTable[Training Component],TrainingTable[Category of Training Stimulus],"")</f>
        <v>Turnover and Pace Work</v>
      </c>
      <c r="C6" s="6" t="s">
        <v>55</v>
      </c>
      <c r="D6" s="6" t="s">
        <v>67</v>
      </c>
      <c r="E6" s="83" t="s">
        <v>81</v>
      </c>
      <c r="F6" s="83"/>
      <c r="G6" s="23">
        <v>1</v>
      </c>
      <c r="H6" s="23">
        <v>1</v>
      </c>
      <c r="I6" s="23">
        <v>0.4</v>
      </c>
      <c r="J6" s="23">
        <v>0.4</v>
      </c>
      <c r="L6" s="31" t="s">
        <v>22</v>
      </c>
      <c r="M6" s="32">
        <f>SUMIF(Monday_Training_Category,"Threshold",Monday_Training_Time_Lower)</f>
        <v>0</v>
      </c>
      <c r="N6" s="32">
        <f>SUMIF(Monday_Training_Category,"Threshold",Monday_Training_Time_Upper)</f>
        <v>0</v>
      </c>
      <c r="O6" s="41">
        <f t="shared" si="0"/>
        <v>0</v>
      </c>
      <c r="P6" s="41">
        <f t="shared" si="1"/>
        <v>0</v>
      </c>
      <c r="Q6" s="32">
        <f>SUMIF(Monday_Training_Category,"Threshold",Monday_Training_Distance_Lower)</f>
        <v>0</v>
      </c>
      <c r="R6" s="32">
        <f>SUMIF(Monday_Training_Category,"Threshold",Monday_Training_Distance_Upper)</f>
        <v>0</v>
      </c>
      <c r="S6" s="41">
        <f t="shared" si="2"/>
        <v>0</v>
      </c>
      <c r="T6" s="41">
        <f t="shared" si="3"/>
        <v>0</v>
      </c>
    </row>
    <row r="7" spans="1:20" s="2" customFormat="1" ht="50" customHeight="1">
      <c r="A7" s="6"/>
      <c r="B7" s="6" t="str">
        <f>_xlfn.XLOOKUP(A7,TrainingTable[Training Component],TrainingTable[Category of Training Stimulus],"")</f>
        <v/>
      </c>
      <c r="C7" s="6" t="s">
        <v>57</v>
      </c>
      <c r="D7" s="6" t="s">
        <v>57</v>
      </c>
      <c r="E7" s="83"/>
      <c r="F7" s="83"/>
      <c r="G7" s="23"/>
      <c r="H7" s="23"/>
      <c r="I7" s="23"/>
      <c r="J7" s="23"/>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c r="B8" s="6" t="str">
        <f>_xlfn.XLOOKUP(A8,TrainingTable[Training Component],TrainingTable[Category of Training Stimulus],"")</f>
        <v/>
      </c>
      <c r="C8" s="6" t="s">
        <v>57</v>
      </c>
      <c r="D8" s="6" t="s">
        <v>57</v>
      </c>
      <c r="E8" s="83"/>
      <c r="F8" s="83"/>
      <c r="G8" s="23"/>
      <c r="H8" s="23"/>
      <c r="I8" s="23"/>
      <c r="J8" s="23"/>
      <c r="L8" s="33" t="s">
        <v>2</v>
      </c>
      <c r="M8" s="34">
        <f>SUMIF(Monday_Training_Category,"Lactate Tolerance",Monday_Training_Time_Lower)</f>
        <v>0</v>
      </c>
      <c r="N8" s="34">
        <f>SUMIF(Monday_Training_Category,"Lactate Tolerance",Monday_Training_Time_Upper)</f>
        <v>0</v>
      </c>
      <c r="O8" s="43">
        <f t="shared" si="0"/>
        <v>0</v>
      </c>
      <c r="P8" s="43">
        <f t="shared" si="1"/>
        <v>0</v>
      </c>
      <c r="Q8" s="34">
        <f>SUMIF(Monday_Training_Category,"Lactate Tolerance",Monday_Training_Distance_Lower)</f>
        <v>0</v>
      </c>
      <c r="R8" s="34">
        <f>SUMIF(Monday_Training_Category,"Lactate Tolerance",Monday_Training_Distance_Upper)</f>
        <v>0</v>
      </c>
      <c r="S8" s="43">
        <f t="shared" si="2"/>
        <v>0</v>
      </c>
      <c r="T8" s="43">
        <f t="shared" si="3"/>
        <v>0</v>
      </c>
    </row>
    <row r="9" spans="1:20" s="2" customFormat="1" ht="50" customHeight="1">
      <c r="A9" s="6"/>
      <c r="B9" s="6" t="str">
        <f>_xlfn.XLOOKUP(A9,TrainingTable[Training Component],TrainingTable[Category of Training Stimulus],"")</f>
        <v/>
      </c>
      <c r="C9" s="6" t="s">
        <v>57</v>
      </c>
      <c r="D9" s="6" t="s">
        <v>57</v>
      </c>
      <c r="E9" s="83"/>
      <c r="F9" s="83"/>
      <c r="G9" s="23"/>
      <c r="H9" s="23"/>
      <c r="I9" s="23"/>
      <c r="J9" s="23"/>
      <c r="L9" s="37" t="s">
        <v>3</v>
      </c>
      <c r="M9" s="38">
        <f>SUMIF(Monday_Training_Category,"Speed Development",Monday_Training_Time_Lower)</f>
        <v>0</v>
      </c>
      <c r="N9" s="38">
        <f>SUMIF(Monday_Training_Category,"Speed Development",Monday_Training_Time_Upper)</f>
        <v>0</v>
      </c>
      <c r="O9" s="44">
        <f t="shared" si="0"/>
        <v>0</v>
      </c>
      <c r="P9" s="44">
        <f t="shared" si="1"/>
        <v>0</v>
      </c>
      <c r="Q9" s="38">
        <f>SUMIF(Monday_Training_Category,"Speed Development",Monday_Training_Distance_Lower)</f>
        <v>0</v>
      </c>
      <c r="R9" s="38">
        <f>SUMIF(Monday_Training_Category,"Speed Development",Monday_Training_Distance_Upper)</f>
        <v>0</v>
      </c>
      <c r="S9" s="44">
        <f t="shared" si="2"/>
        <v>0</v>
      </c>
      <c r="T9" s="44">
        <f t="shared" si="3"/>
        <v>0</v>
      </c>
    </row>
    <row r="10" spans="1:20" s="2" customFormat="1" ht="50" customHeight="1">
      <c r="A10" s="6"/>
      <c r="B10" s="6" t="str">
        <f>_xlfn.XLOOKUP(A10,TrainingTable[Training Component],TrainingTable[Category of Training Stimulus],"")</f>
        <v/>
      </c>
      <c r="C10" s="6" t="s">
        <v>57</v>
      </c>
      <c r="D10" s="6" t="s">
        <v>57</v>
      </c>
      <c r="E10" s="83"/>
      <c r="F10" s="83"/>
      <c r="G10" s="23"/>
      <c r="H10" s="23"/>
      <c r="I10" s="23"/>
      <c r="J10" s="23"/>
      <c r="L10" s="46" t="s">
        <v>76</v>
      </c>
      <c r="M10" s="23">
        <f>SUM(M4:M9)</f>
        <v>21</v>
      </c>
      <c r="N10" s="23">
        <f>SUM(N4:N9)</f>
        <v>61</v>
      </c>
      <c r="O10" s="47">
        <f>M10/M10</f>
        <v>1</v>
      </c>
      <c r="P10" s="45">
        <f t="shared" si="1"/>
        <v>1</v>
      </c>
      <c r="Q10" s="23">
        <f>SUM(Q4:Q9)</f>
        <v>2.4</v>
      </c>
      <c r="R10" s="23">
        <f>SUM(R4:R9)</f>
        <v>8.4</v>
      </c>
      <c r="S10" s="47">
        <f t="shared" si="2"/>
        <v>1</v>
      </c>
      <c r="T10" s="47">
        <f t="shared" si="3"/>
        <v>1</v>
      </c>
    </row>
    <row r="11" spans="1:20" s="2" customFormat="1" ht="50" customHeight="1">
      <c r="A11" s="6"/>
      <c r="B11" s="6" t="str">
        <f>_xlfn.XLOOKUP(A11,TrainingTable[Training Component],TrainingTable[Category of Training Stimulus],"")</f>
        <v/>
      </c>
      <c r="C11" s="6" t="s">
        <v>57</v>
      </c>
      <c r="D11" s="6" t="s">
        <v>57</v>
      </c>
      <c r="E11" s="83"/>
      <c r="F11" s="83"/>
      <c r="G11" s="23"/>
      <c r="H11" s="23"/>
      <c r="I11" s="23"/>
      <c r="J11" s="23"/>
      <c r="L11" s="24"/>
      <c r="M11" s="16"/>
      <c r="N11" s="16"/>
      <c r="O11" s="16"/>
      <c r="P11" s="16"/>
      <c r="Q11" s="16"/>
      <c r="S11" s="16"/>
      <c r="T11" s="16"/>
    </row>
    <row r="12" spans="1:20" s="2" customFormat="1" ht="50" customHeight="1">
      <c r="A12" s="6"/>
      <c r="B12" s="6" t="str">
        <f>_xlfn.XLOOKUP(A12,TrainingTable[Training Component],TrainingTable[Category of Training Stimulus],"")</f>
        <v/>
      </c>
      <c r="C12" s="6" t="s">
        <v>57</v>
      </c>
      <c r="D12" s="6" t="s">
        <v>57</v>
      </c>
      <c r="E12" s="83"/>
      <c r="F12" s="83"/>
      <c r="G12" s="23"/>
      <c r="H12" s="23"/>
      <c r="I12" s="23"/>
      <c r="J12" s="23"/>
      <c r="L12" s="24"/>
      <c r="M12" s="16"/>
      <c r="N12" s="16"/>
      <c r="O12" s="16"/>
      <c r="P12" s="16"/>
      <c r="Q12" s="16"/>
      <c r="S12" s="16"/>
      <c r="T12" s="16"/>
    </row>
    <row r="13" spans="1:20" s="2" customFormat="1" ht="50" customHeight="1">
      <c r="A13" s="6"/>
      <c r="B13" s="6" t="str">
        <f>_xlfn.XLOOKUP(A13,TrainingTable[Training Component],TrainingTable[Category of Training Stimulus],"")</f>
        <v/>
      </c>
      <c r="C13" s="6" t="s">
        <v>57</v>
      </c>
      <c r="D13" s="6" t="s">
        <v>57</v>
      </c>
      <c r="E13" s="83"/>
      <c r="F13" s="83"/>
      <c r="G13" s="23"/>
      <c r="H13" s="23"/>
      <c r="I13" s="23"/>
      <c r="J13" s="23"/>
      <c r="L13" s="24"/>
      <c r="M13" s="16"/>
      <c r="N13" s="16"/>
      <c r="O13" s="16"/>
      <c r="P13" s="16"/>
      <c r="Q13" s="16"/>
      <c r="S13" s="16"/>
      <c r="T13" s="16"/>
    </row>
    <row r="14" spans="1:20" s="2" customFormat="1" ht="50" customHeight="1">
      <c r="A14" s="6"/>
      <c r="B14" s="6" t="str">
        <f>_xlfn.XLOOKUP(A14,TrainingTable[Training Component],TrainingTable[Category of Training Stimulus],"")</f>
        <v/>
      </c>
      <c r="C14" s="6" t="s">
        <v>57</v>
      </c>
      <c r="D14" s="6" t="s">
        <v>57</v>
      </c>
      <c r="E14" s="83"/>
      <c r="F14" s="83"/>
      <c r="G14" s="23"/>
      <c r="H14" s="23"/>
      <c r="I14" s="23"/>
      <c r="J14" s="23"/>
      <c r="L14" s="24"/>
      <c r="M14" s="16"/>
      <c r="N14" s="16"/>
      <c r="O14" s="16"/>
      <c r="P14" s="16"/>
      <c r="Q14" s="16"/>
      <c r="S14" s="16"/>
      <c r="T14" s="16"/>
    </row>
    <row r="15" spans="1:20" s="2" customFormat="1" ht="50" customHeight="1">
      <c r="A15" s="6"/>
      <c r="B15" s="6" t="str">
        <f>_xlfn.XLOOKUP(A15,TrainingTable[Training Component],TrainingTable[Category of Training Stimulus],"")</f>
        <v/>
      </c>
      <c r="C15" s="6" t="s">
        <v>57</v>
      </c>
      <c r="D15" s="6" t="s">
        <v>57</v>
      </c>
      <c r="E15" s="83"/>
      <c r="F15" s="83"/>
      <c r="G15" s="23"/>
      <c r="H15" s="23"/>
      <c r="I15" s="23"/>
      <c r="J15" s="23"/>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topLeftCell="A7" zoomScale="140" zoomScaleNormal="140" workbookViewId="0">
      <selection activeCell="D6" sqref="D6"/>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78</v>
      </c>
      <c r="B1" s="21">
        <v>45705</v>
      </c>
      <c r="C1" s="20" t="s">
        <v>106</v>
      </c>
      <c r="D1" s="20" t="s">
        <v>183</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74</v>
      </c>
      <c r="N2" s="84"/>
      <c r="O2" s="84"/>
      <c r="P2" s="84"/>
      <c r="Q2" s="82" t="s">
        <v>75</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189</v>
      </c>
      <c r="F4" s="83"/>
      <c r="G4" s="23">
        <v>4</v>
      </c>
      <c r="H4" s="23">
        <v>5</v>
      </c>
      <c r="I4" s="23">
        <v>0.5</v>
      </c>
      <c r="J4" s="23">
        <v>0.75</v>
      </c>
      <c r="K4" s="2"/>
      <c r="L4" s="27" t="s">
        <v>73</v>
      </c>
      <c r="M4" s="28">
        <f>SUMIF($B$4:$B$26,"Aerobic Running",G4:G26)</f>
        <v>14</v>
      </c>
      <c r="N4" s="28">
        <f>SUMIF($B$4:$B$26,"Aerobic Running",H4:H26)</f>
        <v>65</v>
      </c>
      <c r="O4" s="39">
        <f t="shared" ref="O4:O9" si="0">M4/$M$10</f>
        <v>0.7567567567567568</v>
      </c>
      <c r="P4" s="39">
        <f t="shared" ref="P4:P10" si="1">N4/$N$10</f>
        <v>0.93525179856115104</v>
      </c>
      <c r="Q4" s="28">
        <f>SUMIF($B$4:$B$26,"Aerobic Running",I4:I26)</f>
        <v>1.25</v>
      </c>
      <c r="R4" s="28">
        <f>SUMIF($B$4:$B$26,"Aerobic Running",J4:J26)</f>
        <v>8.75</v>
      </c>
      <c r="S4" s="39">
        <f>Q4/$Q$10</f>
        <v>0.58139534883720934</v>
      </c>
      <c r="T4" s="39">
        <f>R4/$R$10</f>
        <v>0.8883248730964467</v>
      </c>
    </row>
    <row r="5" spans="1:20" ht="50" customHeight="1">
      <c r="A5" s="6" t="s">
        <v>19</v>
      </c>
      <c r="B5" s="6" t="str">
        <f>_xlfn.XLOOKUP(A5,TrainingTable[Training Component],TrainingTable[Category of Training Stimulus],"")</f>
        <v>Stretching and Mobility</v>
      </c>
      <c r="C5" s="6" t="s">
        <v>55</v>
      </c>
      <c r="D5" s="6" t="s">
        <v>67</v>
      </c>
      <c r="E5" s="83" t="s">
        <v>69</v>
      </c>
      <c r="F5" s="83"/>
      <c r="G5" s="23">
        <v>5</v>
      </c>
      <c r="H5" s="23">
        <v>8</v>
      </c>
      <c r="I5" s="23">
        <v>0</v>
      </c>
      <c r="J5" s="23">
        <v>0</v>
      </c>
      <c r="K5" s="2"/>
      <c r="L5" s="29" t="s">
        <v>34</v>
      </c>
      <c r="M5" s="30">
        <f>SUMIF($B$4:$B$26,"Turnover and Pace Work",G4:G26)</f>
        <v>4</v>
      </c>
      <c r="N5" s="30">
        <f>SUMIF($B$4:$B$26,"Turnover and Pace Work",H4:H26)</f>
        <v>4</v>
      </c>
      <c r="O5" s="40">
        <f t="shared" si="0"/>
        <v>0.21621621621621623</v>
      </c>
      <c r="P5" s="40">
        <f t="shared" si="1"/>
        <v>5.7553956834532377E-2</v>
      </c>
      <c r="Q5" s="30">
        <f>SUMIF($B$4:$B$26,"Turnover and Pace Work",I4:I26)</f>
        <v>0.8</v>
      </c>
      <c r="R5" s="30">
        <f>SUMIF($B$4:$B$26,"Turnover and Pace Work",J4:J26)</f>
        <v>1</v>
      </c>
      <c r="S5" s="40">
        <f t="shared" ref="S5:S10" si="2">Q5/$Q$10</f>
        <v>0.372093023255814</v>
      </c>
      <c r="T5" s="40">
        <f t="shared" ref="T5:T10" si="3">R5/$R$10</f>
        <v>0.10152284263959391</v>
      </c>
    </row>
    <row r="6" spans="1:20" ht="50" customHeight="1">
      <c r="A6" s="6" t="s">
        <v>43</v>
      </c>
      <c r="B6" s="6" t="str">
        <f>_xlfn.XLOOKUP(A6,TrainingTable[Training Component],TrainingTable[Category of Training Stimulus],"")</f>
        <v>Turnover and Pace Work</v>
      </c>
      <c r="C6" s="6" t="s">
        <v>55</v>
      </c>
      <c r="D6" s="6" t="s">
        <v>68</v>
      </c>
      <c r="E6" s="83" t="s">
        <v>70</v>
      </c>
      <c r="F6" s="83"/>
      <c r="G6" s="23">
        <v>1</v>
      </c>
      <c r="H6" s="23">
        <v>1</v>
      </c>
      <c r="I6" s="23">
        <v>0.2</v>
      </c>
      <c r="J6" s="23">
        <v>0.2</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49</v>
      </c>
      <c r="B7" s="6" t="str">
        <f>_xlfn.XLOOKUP(A7,TrainingTable[Training Component],TrainingTable[Category of Training Stimulus],"")</f>
        <v>Recovery</v>
      </c>
      <c r="C7" s="6" t="s">
        <v>57</v>
      </c>
      <c r="D7" s="6" t="s">
        <v>57</v>
      </c>
      <c r="E7" s="83" t="s">
        <v>72</v>
      </c>
      <c r="F7" s="83"/>
      <c r="G7" s="23">
        <v>3</v>
      </c>
      <c r="H7" s="23">
        <v>3</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31</v>
      </c>
      <c r="B8" s="6" t="str">
        <f>_xlfn.XLOOKUP(A8,TrainingTable[Training Component],TrainingTable[Category of Training Stimulus],"")</f>
        <v>Speed Development</v>
      </c>
      <c r="C8" s="6" t="s">
        <v>56</v>
      </c>
      <c r="D8" s="6" t="s">
        <v>64</v>
      </c>
      <c r="E8" s="83" t="s">
        <v>71</v>
      </c>
      <c r="F8" s="83"/>
      <c r="G8" s="23">
        <v>0.5</v>
      </c>
      <c r="H8" s="23">
        <v>0.5</v>
      </c>
      <c r="I8" s="23">
        <v>0.1</v>
      </c>
      <c r="J8" s="23">
        <v>0.1</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t="s">
        <v>49</v>
      </c>
      <c r="B9" s="6" t="str">
        <f>_xlfn.XLOOKUP(A9,TrainingTable[Training Component],TrainingTable[Category of Training Stimulus],"")</f>
        <v>Recovery</v>
      </c>
      <c r="C9" s="6" t="s">
        <v>57</v>
      </c>
      <c r="D9" s="6" t="s">
        <v>57</v>
      </c>
      <c r="E9" s="83" t="s">
        <v>190</v>
      </c>
      <c r="F9" s="83"/>
      <c r="G9" s="23">
        <v>3</v>
      </c>
      <c r="H9" s="23">
        <v>3</v>
      </c>
      <c r="I9" s="23">
        <v>0</v>
      </c>
      <c r="J9" s="23">
        <v>0</v>
      </c>
      <c r="K9" s="2"/>
      <c r="L9" s="37" t="s">
        <v>3</v>
      </c>
      <c r="M9" s="38">
        <f>SUMIF($B$4:$B$26,"Speed Development",G4:G26)</f>
        <v>0.5</v>
      </c>
      <c r="N9" s="38">
        <f>SUMIF($B$4:$B$26,"Speed Development",H4:H26)</f>
        <v>0.5</v>
      </c>
      <c r="O9" s="44">
        <f t="shared" si="0"/>
        <v>2.7027027027027029E-2</v>
      </c>
      <c r="P9" s="44">
        <f t="shared" si="1"/>
        <v>7.1942446043165471E-3</v>
      </c>
      <c r="Q9" s="38">
        <f>SUMIF($B$4:$B$26,"Speed Development",I4:I26)</f>
        <v>0.1</v>
      </c>
      <c r="R9" s="38">
        <f>SUMIF($B$4:$B$26,"Speed Development",J4:J26)</f>
        <v>0.1</v>
      </c>
      <c r="S9" s="44">
        <f t="shared" si="2"/>
        <v>4.651162790697675E-2</v>
      </c>
      <c r="T9" s="44">
        <f t="shared" si="3"/>
        <v>1.0152284263959392E-2</v>
      </c>
    </row>
    <row r="10" spans="1:20" ht="50" customHeight="1">
      <c r="A10" s="6" t="s">
        <v>0</v>
      </c>
      <c r="B10" s="6" t="str">
        <f>_xlfn.XLOOKUP(A10,TrainingTable[Training Component],TrainingTable[Category of Training Stimulus],"")</f>
        <v>Aerobic Running</v>
      </c>
      <c r="C10" s="6" t="s">
        <v>55</v>
      </c>
      <c r="D10" s="6" t="s">
        <v>67</v>
      </c>
      <c r="E10" s="83" t="s">
        <v>191</v>
      </c>
      <c r="F10" s="83"/>
      <c r="G10" s="23">
        <v>10</v>
      </c>
      <c r="H10" s="23">
        <v>60</v>
      </c>
      <c r="I10" s="23">
        <v>0.75</v>
      </c>
      <c r="J10" s="23">
        <v>8</v>
      </c>
      <c r="K10" s="2"/>
      <c r="L10" s="46" t="s">
        <v>76</v>
      </c>
      <c r="M10" s="23">
        <f>SUM(M4:M9)</f>
        <v>18.5</v>
      </c>
      <c r="N10" s="23">
        <f>SUM(N4:N9)</f>
        <v>69.5</v>
      </c>
      <c r="O10" s="47">
        <f>M10/M10</f>
        <v>1</v>
      </c>
      <c r="P10" s="45">
        <f t="shared" si="1"/>
        <v>1</v>
      </c>
      <c r="Q10" s="23">
        <f>SUM(Q4:Q9)</f>
        <v>2.15</v>
      </c>
      <c r="R10" s="23">
        <f>SUM(R4:R9)</f>
        <v>9.85</v>
      </c>
      <c r="S10" s="47">
        <f t="shared" si="2"/>
        <v>1</v>
      </c>
      <c r="T10" s="47">
        <f t="shared" si="3"/>
        <v>1</v>
      </c>
    </row>
    <row r="11" spans="1:20" ht="50" customHeight="1">
      <c r="A11" s="6" t="s">
        <v>42</v>
      </c>
      <c r="B11" s="6" t="str">
        <f>_xlfn.XLOOKUP(A11,TrainingTable[Training Component],TrainingTable[Category of Training Stimulus],"")</f>
        <v>Turnover and Pace Work</v>
      </c>
      <c r="C11" s="6" t="s">
        <v>55</v>
      </c>
      <c r="D11" s="6" t="s">
        <v>64</v>
      </c>
      <c r="E11" s="83" t="s">
        <v>193</v>
      </c>
      <c r="F11" s="83"/>
      <c r="G11" s="23">
        <v>3</v>
      </c>
      <c r="H11" s="23">
        <v>3</v>
      </c>
      <c r="I11" s="23">
        <v>0.6</v>
      </c>
      <c r="J11" s="23">
        <v>0.8</v>
      </c>
      <c r="K11" s="2"/>
      <c r="L11" s="24"/>
      <c r="M11" s="16"/>
      <c r="N11" s="16"/>
      <c r="O11" s="16"/>
      <c r="P11" s="16"/>
      <c r="Q11" s="16"/>
      <c r="R11" s="2"/>
      <c r="S11" s="16"/>
      <c r="T11" s="16"/>
    </row>
    <row r="12" spans="1:20" ht="50" customHeight="1">
      <c r="A12" s="6" t="s">
        <v>21</v>
      </c>
      <c r="B12" s="6" t="str">
        <f>_xlfn.XLOOKUP(A12,TrainingTable[Training Component],TrainingTable[Category of Training Stimulus],"")</f>
        <v>Stretching and Mobility</v>
      </c>
      <c r="C12" s="6" t="s">
        <v>57</v>
      </c>
      <c r="D12" s="6" t="s">
        <v>57</v>
      </c>
      <c r="E12" s="83" t="s">
        <v>77</v>
      </c>
      <c r="F12" s="83"/>
      <c r="G12" s="23">
        <v>5</v>
      </c>
      <c r="H12" s="23">
        <v>5</v>
      </c>
      <c r="I12" s="23">
        <v>0</v>
      </c>
      <c r="J12" s="23">
        <v>0</v>
      </c>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zoomScale="140" zoomScaleNormal="140" workbookViewId="0">
      <selection activeCell="E12" sqref="E12:F12"/>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82</v>
      </c>
      <c r="B1" s="21">
        <v>45706</v>
      </c>
      <c r="C1" s="20" t="s">
        <v>108</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74</v>
      </c>
      <c r="N2" s="84"/>
      <c r="O2" s="84"/>
      <c r="P2" s="84"/>
      <c r="Q2" s="82" t="s">
        <v>75</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194</v>
      </c>
      <c r="F4" s="83"/>
      <c r="G4" s="23">
        <v>6</v>
      </c>
      <c r="H4" s="23">
        <v>18</v>
      </c>
      <c r="I4" s="23">
        <v>0.5</v>
      </c>
      <c r="J4" s="23">
        <v>1.5</v>
      </c>
      <c r="K4" s="2"/>
      <c r="L4" s="27" t="s">
        <v>73</v>
      </c>
      <c r="M4" s="28">
        <f>SUMIF($B$4:$B$26,"Aerobic Running",G4:G26)</f>
        <v>16</v>
      </c>
      <c r="N4" s="28">
        <f>SUMIF($B$4:$B$26,"Aerobic Running",H4:H26)</f>
        <v>38</v>
      </c>
      <c r="O4" s="39">
        <f t="shared" ref="O4:O9" si="0">M4/$M$10</f>
        <v>0.35555555555555557</v>
      </c>
      <c r="P4" s="39">
        <f t="shared" ref="P4:P10" si="1">N4/$N$10</f>
        <v>0.53521126760563376</v>
      </c>
      <c r="Q4" s="28">
        <f>SUMIF($B$4:$B$26,"Aerobic Running",I4:I26)</f>
        <v>1.3</v>
      </c>
      <c r="R4" s="28">
        <f>SUMIF($B$4:$B$26,"Aerobic Running",J4:J26)</f>
        <v>4.25</v>
      </c>
      <c r="S4" s="39">
        <f>Q4/$Q$10</f>
        <v>0.28888888888888892</v>
      </c>
      <c r="T4" s="39">
        <f>R4/$R$10</f>
        <v>0.47486033519553078</v>
      </c>
    </row>
    <row r="5" spans="1:20" ht="50" customHeight="1">
      <c r="A5" s="6" t="s">
        <v>19</v>
      </c>
      <c r="B5" s="6" t="str">
        <f>_xlfn.XLOOKUP(A5,TrainingTable[Training Component],TrainingTable[Category of Training Stimulus],"")</f>
        <v>Stretching and Mobility</v>
      </c>
      <c r="C5" s="6" t="s">
        <v>55</v>
      </c>
      <c r="D5" s="6" t="s">
        <v>57</v>
      </c>
      <c r="E5" s="83" t="s">
        <v>195</v>
      </c>
      <c r="F5" s="83"/>
      <c r="G5" s="23">
        <v>5</v>
      </c>
      <c r="H5" s="23">
        <v>5</v>
      </c>
      <c r="I5" s="23">
        <v>0</v>
      </c>
      <c r="J5" s="23">
        <v>0</v>
      </c>
      <c r="K5" s="2"/>
      <c r="L5" s="29" t="s">
        <v>34</v>
      </c>
      <c r="M5" s="30">
        <f>SUMIF($B$4:$B$26,"Turnover and Pace Work",G4:G26)</f>
        <v>1</v>
      </c>
      <c r="N5" s="30">
        <f>SUMIF($B$4:$B$26,"Turnover and Pace Work",H4:H26)</f>
        <v>1</v>
      </c>
      <c r="O5" s="40">
        <f t="shared" si="0"/>
        <v>2.2222222222222223E-2</v>
      </c>
      <c r="P5" s="40">
        <f t="shared" si="1"/>
        <v>1.4084507042253521E-2</v>
      </c>
      <c r="Q5" s="30">
        <f>SUMIF($B$4:$B$26,"Turnover and Pace Work",I4:I26)</f>
        <v>0.2</v>
      </c>
      <c r="R5" s="30">
        <f>SUMIF($B$4:$B$26,"Turnover and Pace Work",J4:J26)</f>
        <v>0.2</v>
      </c>
      <c r="S5" s="40">
        <f t="shared" ref="S5:S10" si="2">Q5/$Q$10</f>
        <v>4.4444444444444446E-2</v>
      </c>
      <c r="T5" s="40">
        <f t="shared" ref="T5:T10" si="3">R5/$R$10</f>
        <v>2.2346368715083803E-2</v>
      </c>
    </row>
    <row r="6" spans="1:20" ht="50" customHeight="1">
      <c r="A6" s="6" t="s">
        <v>43</v>
      </c>
      <c r="B6" s="6" t="str">
        <f>_xlfn.XLOOKUP(A6,TrainingTable[Training Component],TrainingTable[Category of Training Stimulus],"")</f>
        <v>Turnover and Pace Work</v>
      </c>
      <c r="C6" s="6" t="s">
        <v>55</v>
      </c>
      <c r="D6" s="6" t="s">
        <v>64</v>
      </c>
      <c r="E6" s="83" t="s">
        <v>70</v>
      </c>
      <c r="F6" s="83"/>
      <c r="G6" s="23">
        <v>1</v>
      </c>
      <c r="H6" s="23">
        <v>1</v>
      </c>
      <c r="I6" s="23">
        <v>0.2</v>
      </c>
      <c r="J6" s="23">
        <v>0.2</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49</v>
      </c>
      <c r="B7" s="6" t="str">
        <f>_xlfn.XLOOKUP(A7,TrainingTable[Training Component],TrainingTable[Category of Training Stimulus],"")</f>
        <v>Recovery</v>
      </c>
      <c r="C7" s="6" t="s">
        <v>57</v>
      </c>
      <c r="D7" s="6" t="s">
        <v>57</v>
      </c>
      <c r="E7" s="83" t="s">
        <v>196</v>
      </c>
      <c r="F7" s="83"/>
      <c r="G7" s="23">
        <v>3</v>
      </c>
      <c r="H7" s="23">
        <v>3</v>
      </c>
      <c r="I7" s="23">
        <v>0</v>
      </c>
      <c r="J7" s="23">
        <v>0</v>
      </c>
      <c r="K7" s="2"/>
      <c r="L7" s="35" t="s">
        <v>1</v>
      </c>
      <c r="M7" s="36">
        <f>SUMIF($B$4:$B$26,"VO2 Max",G4:G26)</f>
        <v>20</v>
      </c>
      <c r="N7" s="36">
        <f>SUMIF($B$4:$B$26,"VO2 Max",H4:H26)</f>
        <v>20</v>
      </c>
      <c r="O7" s="42">
        <f t="shared" si="0"/>
        <v>0.44444444444444442</v>
      </c>
      <c r="P7" s="42">
        <f t="shared" si="1"/>
        <v>0.28169014084507044</v>
      </c>
      <c r="Q7" s="36">
        <f>SUMIF($B$4:$B$26,"VO2 Max",I4:I26)</f>
        <v>2</v>
      </c>
      <c r="R7" s="36">
        <f>SUMIF($B$4:$B$26,"VO2 Max",J4:J26)</f>
        <v>3.5</v>
      </c>
      <c r="S7" s="42">
        <f t="shared" si="2"/>
        <v>0.44444444444444442</v>
      </c>
      <c r="T7" s="42">
        <f t="shared" si="3"/>
        <v>0.39106145251396651</v>
      </c>
    </row>
    <row r="8" spans="1:20" ht="50" customHeight="1">
      <c r="A8" s="6" t="s">
        <v>27</v>
      </c>
      <c r="B8" s="6" t="str">
        <f>_xlfn.XLOOKUP(A8,TrainingTable[Training Component],TrainingTable[Category of Training Stimulus],"")</f>
        <v>VO2 Max</v>
      </c>
      <c r="C8" s="6" t="s">
        <v>58</v>
      </c>
      <c r="D8" s="6" t="s">
        <v>64</v>
      </c>
      <c r="E8" s="83" t="s">
        <v>197</v>
      </c>
      <c r="F8" s="83"/>
      <c r="G8" s="23">
        <v>20</v>
      </c>
      <c r="H8" s="23">
        <v>20</v>
      </c>
      <c r="I8" s="23">
        <v>2</v>
      </c>
      <c r="J8" s="23">
        <v>3.5</v>
      </c>
      <c r="K8" s="2"/>
      <c r="L8" s="33" t="s">
        <v>2</v>
      </c>
      <c r="M8" s="34">
        <f>SUMIF($B$4:$B$26,"Lactate Tolerance",G4:G26)</f>
        <v>8</v>
      </c>
      <c r="N8" s="34">
        <f>SUMIF($B$4:$B$26,"Lactate Tolerance",H4:H26)</f>
        <v>12</v>
      </c>
      <c r="O8" s="43">
        <f t="shared" si="0"/>
        <v>0.17777777777777778</v>
      </c>
      <c r="P8" s="43">
        <f t="shared" si="1"/>
        <v>0.16901408450704225</v>
      </c>
      <c r="Q8" s="34">
        <f>SUMIF($B$4:$B$26,"Lactate Tolerance",I4:I26)</f>
        <v>1</v>
      </c>
      <c r="R8" s="34">
        <f>SUMIF($B$4:$B$26,"Lactate Tolerance",J4:J26)</f>
        <v>1</v>
      </c>
      <c r="S8" s="43">
        <f t="shared" si="2"/>
        <v>0.22222222222222221</v>
      </c>
      <c r="T8" s="43">
        <f t="shared" si="3"/>
        <v>0.111731843575419</v>
      </c>
    </row>
    <row r="9" spans="1:20" ht="50" customHeight="1">
      <c r="A9" s="6" t="s">
        <v>0</v>
      </c>
      <c r="B9" s="6" t="str">
        <f>_xlfn.XLOOKUP(A9,TrainingTable[Training Component],TrainingTable[Category of Training Stimulus],"")</f>
        <v>Aerobic Running</v>
      </c>
      <c r="C9" s="6" t="s">
        <v>58</v>
      </c>
      <c r="D9" s="6" t="s">
        <v>67</v>
      </c>
      <c r="E9" s="83" t="s">
        <v>198</v>
      </c>
      <c r="F9" s="83"/>
      <c r="G9" s="23">
        <v>5</v>
      </c>
      <c r="H9" s="23">
        <v>5</v>
      </c>
      <c r="I9" s="23">
        <v>0.3</v>
      </c>
      <c r="J9" s="23">
        <v>0.75</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49</v>
      </c>
      <c r="B10" s="6" t="str">
        <f>_xlfn.XLOOKUP(A10,TrainingTable[Training Component],TrainingTable[Category of Training Stimulus],"")</f>
        <v>Recovery</v>
      </c>
      <c r="C10" s="6" t="s">
        <v>57</v>
      </c>
      <c r="D10" s="6" t="s">
        <v>57</v>
      </c>
      <c r="E10" s="83" t="s">
        <v>199</v>
      </c>
      <c r="F10" s="83"/>
      <c r="G10" s="23">
        <v>5</v>
      </c>
      <c r="H10" s="23">
        <v>5</v>
      </c>
      <c r="I10" s="23">
        <v>0</v>
      </c>
      <c r="J10" s="23">
        <v>0</v>
      </c>
      <c r="K10" s="2"/>
      <c r="L10" s="46" t="s">
        <v>76</v>
      </c>
      <c r="M10" s="23">
        <f>SUM(M4:M9)</f>
        <v>45</v>
      </c>
      <c r="N10" s="23">
        <f>SUM(N4:N9)</f>
        <v>71</v>
      </c>
      <c r="O10" s="47">
        <f>M10/M10</f>
        <v>1</v>
      </c>
      <c r="P10" s="45">
        <f t="shared" si="1"/>
        <v>1</v>
      </c>
      <c r="Q10" s="23">
        <f>SUM(Q4:Q9)</f>
        <v>4.5</v>
      </c>
      <c r="R10" s="23">
        <f>SUM(R4:R9)</f>
        <v>8.9499999999999993</v>
      </c>
      <c r="S10" s="47">
        <f t="shared" si="2"/>
        <v>1</v>
      </c>
      <c r="T10" s="47">
        <f t="shared" si="3"/>
        <v>1</v>
      </c>
    </row>
    <row r="11" spans="1:20" ht="50" customHeight="1">
      <c r="A11" s="6" t="s">
        <v>28</v>
      </c>
      <c r="B11" s="6" t="str">
        <f>_xlfn.XLOOKUP(A11,TrainingTable[Training Component],TrainingTable[Category of Training Stimulus],"")</f>
        <v>Lactate Tolerance</v>
      </c>
      <c r="C11" s="6" t="s">
        <v>56</v>
      </c>
      <c r="D11" s="6" t="s">
        <v>64</v>
      </c>
      <c r="E11" s="83" t="s">
        <v>205</v>
      </c>
      <c r="F11" s="83"/>
      <c r="G11" s="23">
        <v>8</v>
      </c>
      <c r="H11" s="23">
        <v>12</v>
      </c>
      <c r="I11" s="23">
        <v>1</v>
      </c>
      <c r="J11" s="23">
        <v>1</v>
      </c>
      <c r="K11" s="2"/>
      <c r="L11" s="24"/>
      <c r="M11" s="16"/>
      <c r="N11" s="16"/>
      <c r="O11" s="16"/>
      <c r="P11" s="16"/>
      <c r="Q11" s="16"/>
      <c r="R11" s="2"/>
      <c r="S11" s="16"/>
      <c r="T11" s="16"/>
    </row>
    <row r="12" spans="1:20" ht="50" customHeight="1">
      <c r="A12" s="6" t="s">
        <v>14</v>
      </c>
      <c r="B12" s="6" t="str">
        <f>_xlfn.XLOOKUP(A12,TrainingTable[Training Component],TrainingTable[Category of Training Stimulus],"")</f>
        <v>Aerobic Running</v>
      </c>
      <c r="C12" s="6" t="s">
        <v>55</v>
      </c>
      <c r="D12" s="6" t="s">
        <v>67</v>
      </c>
      <c r="E12" s="83" t="s">
        <v>200</v>
      </c>
      <c r="F12" s="83"/>
      <c r="G12" s="23">
        <v>5</v>
      </c>
      <c r="H12" s="23">
        <v>15</v>
      </c>
      <c r="I12" s="23">
        <v>0.5</v>
      </c>
      <c r="J12" s="23">
        <v>2</v>
      </c>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zoomScale="140" zoomScaleNormal="140" workbookViewId="0">
      <selection activeCell="D8" sqref="D8"/>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84</v>
      </c>
      <c r="B1" s="21">
        <v>45707</v>
      </c>
      <c r="C1" s="20" t="s">
        <v>106</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74</v>
      </c>
      <c r="N2" s="84"/>
      <c r="O2" s="84"/>
      <c r="P2" s="84"/>
      <c r="Q2" s="82" t="s">
        <v>75</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189</v>
      </c>
      <c r="F4" s="83"/>
      <c r="G4" s="23">
        <v>4</v>
      </c>
      <c r="H4" s="23">
        <v>5</v>
      </c>
      <c r="I4" s="23">
        <v>0.5</v>
      </c>
      <c r="J4" s="23">
        <v>0.75</v>
      </c>
      <c r="K4" s="2"/>
      <c r="L4" s="27" t="s">
        <v>73</v>
      </c>
      <c r="M4" s="28">
        <f>SUMIF($B$4:$B$26,"Aerobic Running",G4:G26)</f>
        <v>5</v>
      </c>
      <c r="N4" s="28">
        <f>SUMIF($B$4:$B$26,"Aerobic Running",H4:H26)</f>
        <v>6</v>
      </c>
      <c r="O4" s="39">
        <f t="shared" ref="O4:O9" si="0">M4/$M$10</f>
        <v>0.625</v>
      </c>
      <c r="P4" s="39">
        <f t="shared" ref="P4:P10" si="1">N4/$N$10</f>
        <v>0.66666666666666663</v>
      </c>
      <c r="Q4" s="28">
        <f>SUMIF($B$4:$B$26,"Aerobic Running",I4:I26)</f>
        <v>1.25</v>
      </c>
      <c r="R4" s="28">
        <f>SUMIF($B$4:$B$26,"Aerobic Running",J4:J26)</f>
        <v>8.75</v>
      </c>
      <c r="S4" s="39">
        <f>Q4/$Q$10</f>
        <v>0.67567567567567566</v>
      </c>
      <c r="T4" s="39">
        <f>R4/$R$10</f>
        <v>0.93582887700534767</v>
      </c>
    </row>
    <row r="5" spans="1:20" ht="50" customHeight="1">
      <c r="A5" s="6" t="s">
        <v>19</v>
      </c>
      <c r="B5" s="6" t="str">
        <f>_xlfn.XLOOKUP(A5,TrainingTable[Training Component],TrainingTable[Category of Training Stimulus],"")</f>
        <v>Stretching and Mobility</v>
      </c>
      <c r="C5" s="6" t="s">
        <v>55</v>
      </c>
      <c r="D5" s="6" t="s">
        <v>67</v>
      </c>
      <c r="E5" s="83" t="s">
        <v>69</v>
      </c>
      <c r="F5" s="83"/>
      <c r="G5" s="23">
        <v>5</v>
      </c>
      <c r="H5" s="23">
        <v>8</v>
      </c>
      <c r="I5" s="23">
        <v>0</v>
      </c>
      <c r="J5" s="23">
        <v>0</v>
      </c>
      <c r="K5" s="2"/>
      <c r="L5" s="29" t="s">
        <v>34</v>
      </c>
      <c r="M5" s="30">
        <f>SUMIF($B$4:$B$26,"Turnover and Pace Work",G4:G26)</f>
        <v>3</v>
      </c>
      <c r="N5" s="30">
        <f>SUMIF($B$4:$B$26,"Turnover and Pace Work",H4:H26)</f>
        <v>3</v>
      </c>
      <c r="O5" s="40">
        <f t="shared" si="0"/>
        <v>0.375</v>
      </c>
      <c r="P5" s="40">
        <f t="shared" si="1"/>
        <v>0.33333333333333331</v>
      </c>
      <c r="Q5" s="30">
        <f>SUMIF($B$4:$B$26,"Turnover and Pace Work",I4:I26)</f>
        <v>0.6</v>
      </c>
      <c r="R5" s="30">
        <f>SUMIF($B$4:$B$26,"Turnover and Pace Work",J4:J26)</f>
        <v>0.6</v>
      </c>
      <c r="S5" s="40">
        <f t="shared" ref="S5:S10" si="2">Q5/$Q$10</f>
        <v>0.32432432432432429</v>
      </c>
      <c r="T5" s="40">
        <f t="shared" ref="T5:T10" si="3">R5/$R$10</f>
        <v>6.4171122994652413E-2</v>
      </c>
    </row>
    <row r="6" spans="1:20" ht="50" customHeight="1">
      <c r="A6" s="6" t="s">
        <v>0</v>
      </c>
      <c r="B6" s="6" t="str">
        <f>_xlfn.XLOOKUP(A6,TrainingTable[Training Component],TrainingTable[Category of Training Stimulus],"")</f>
        <v>Aerobic Running</v>
      </c>
      <c r="C6" s="6" t="s">
        <v>55</v>
      </c>
      <c r="D6" s="6" t="s">
        <v>67</v>
      </c>
      <c r="E6" s="83" t="s">
        <v>191</v>
      </c>
      <c r="F6" s="83"/>
      <c r="G6" s="23">
        <v>1</v>
      </c>
      <c r="H6" s="23">
        <v>1</v>
      </c>
      <c r="I6" s="23">
        <v>0.75</v>
      </c>
      <c r="J6" s="23">
        <v>8</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t="s">
        <v>42</v>
      </c>
      <c r="B7" s="6" t="str">
        <f>_xlfn.XLOOKUP(A7,TrainingTable[Training Component],TrainingTable[Category of Training Stimulus],"")</f>
        <v>Turnover and Pace Work</v>
      </c>
      <c r="C7" s="6" t="s">
        <v>55</v>
      </c>
      <c r="D7" s="6" t="s">
        <v>64</v>
      </c>
      <c r="E7" s="83" t="s">
        <v>201</v>
      </c>
      <c r="F7" s="83"/>
      <c r="G7" s="23">
        <v>3</v>
      </c>
      <c r="H7" s="23">
        <v>3</v>
      </c>
      <c r="I7" s="23">
        <v>0.6</v>
      </c>
      <c r="J7" s="23">
        <v>0.6</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21</v>
      </c>
      <c r="B8" s="6" t="str">
        <f>_xlfn.XLOOKUP(A8,TrainingTable[Training Component],TrainingTable[Category of Training Stimulus],"")</f>
        <v>Stretching and Mobility</v>
      </c>
      <c r="C8" s="6" t="s">
        <v>57</v>
      </c>
      <c r="D8" s="6" t="s">
        <v>57</v>
      </c>
      <c r="E8" s="83" t="s">
        <v>182</v>
      </c>
      <c r="F8" s="83"/>
      <c r="G8" s="23">
        <v>5</v>
      </c>
      <c r="H8" s="23">
        <v>5</v>
      </c>
      <c r="I8" s="23">
        <v>0</v>
      </c>
      <c r="J8" s="23">
        <v>0</v>
      </c>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93"/>
      <c r="F10" s="94"/>
      <c r="G10" s="23"/>
      <c r="H10" s="23"/>
      <c r="I10" s="23"/>
      <c r="J10" s="23"/>
      <c r="K10" s="2"/>
      <c r="L10" s="46" t="s">
        <v>76</v>
      </c>
      <c r="M10" s="23">
        <f>SUM(M4:M9)</f>
        <v>8</v>
      </c>
      <c r="N10" s="23">
        <f>SUM(N4:N9)</f>
        <v>9</v>
      </c>
      <c r="O10" s="47">
        <f>M10/M10</f>
        <v>1</v>
      </c>
      <c r="P10" s="45">
        <f t="shared" si="1"/>
        <v>1</v>
      </c>
      <c r="Q10" s="23">
        <f>SUM(Q4:Q9)</f>
        <v>1.85</v>
      </c>
      <c r="R10" s="23">
        <f>SUM(R4:R9)</f>
        <v>9.35</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topLeftCell="A4" zoomScale="140" zoomScaleNormal="140" workbookViewId="0">
      <selection activeCell="E7" sqref="E7:F7"/>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86</v>
      </c>
      <c r="B1" s="21">
        <v>45708</v>
      </c>
      <c r="C1" s="20" t="s">
        <v>108</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74</v>
      </c>
      <c r="N2" s="84"/>
      <c r="O2" s="84"/>
      <c r="P2" s="84"/>
      <c r="Q2" s="82" t="s">
        <v>75</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3" t="s">
        <v>79</v>
      </c>
      <c r="F4" s="83"/>
      <c r="G4" s="23">
        <v>5</v>
      </c>
      <c r="H4" s="23">
        <v>5</v>
      </c>
      <c r="I4" s="23">
        <v>0</v>
      </c>
      <c r="J4" s="23">
        <v>0</v>
      </c>
      <c r="K4" s="2"/>
      <c r="L4" s="27" t="s">
        <v>73</v>
      </c>
      <c r="M4" s="28">
        <f>SUMIF($B$4:$B$26,"Aerobic Running",G4:G26)</f>
        <v>20</v>
      </c>
      <c r="N4" s="28">
        <f>SUMIF($B$4:$B$26,"Aerobic Running",H4:H26)</f>
        <v>45</v>
      </c>
      <c r="O4" s="39">
        <f t="shared" ref="O4:O9" si="0">M4/$M$10</f>
        <v>0.95238095238095233</v>
      </c>
      <c r="P4" s="39">
        <f t="shared" ref="P4:P10" si="1">N4/$N$10</f>
        <v>0.95744680851063835</v>
      </c>
      <c r="Q4" s="28">
        <f>SUMIF($B$4:$B$26,"Aerobic Running",I4:I26)</f>
        <v>2</v>
      </c>
      <c r="R4" s="28">
        <f>SUMIF($B$4:$B$26,"Aerobic Running",J4:J26)</f>
        <v>6</v>
      </c>
      <c r="S4" s="39">
        <f>Q4/$Q$10</f>
        <v>0.83333333333333337</v>
      </c>
      <c r="T4" s="39">
        <f>R4/$R$10</f>
        <v>0.90909090909090917</v>
      </c>
    </row>
    <row r="5" spans="1:20" ht="50" customHeight="1">
      <c r="A5" s="6" t="s">
        <v>0</v>
      </c>
      <c r="B5" s="6" t="str">
        <f>_xlfn.XLOOKUP(A5,TrainingTable[Training Component],TrainingTable[Category of Training Stimulus],"")</f>
        <v>Aerobic Running</v>
      </c>
      <c r="C5" s="6" t="s">
        <v>55</v>
      </c>
      <c r="D5" s="6" t="s">
        <v>67</v>
      </c>
      <c r="E5" s="83" t="s">
        <v>192</v>
      </c>
      <c r="F5" s="83"/>
      <c r="G5" s="23">
        <v>20</v>
      </c>
      <c r="H5" s="23">
        <v>45</v>
      </c>
      <c r="I5" s="23">
        <v>2</v>
      </c>
      <c r="J5" s="23">
        <v>6</v>
      </c>
      <c r="K5" s="2"/>
      <c r="L5" s="29" t="s">
        <v>34</v>
      </c>
      <c r="M5" s="30">
        <f>SUMIF($B$4:$B$26,"Turnover and Pace Work",G4:G26)</f>
        <v>1</v>
      </c>
      <c r="N5" s="30">
        <f>SUMIF($B$4:$B$26,"Turnover and Pace Work",H4:H26)</f>
        <v>2</v>
      </c>
      <c r="O5" s="40">
        <f t="shared" si="0"/>
        <v>4.7619047619047616E-2</v>
      </c>
      <c r="P5" s="40">
        <f t="shared" si="1"/>
        <v>4.2553191489361701E-2</v>
      </c>
      <c r="Q5" s="30">
        <f>SUMIF($B$4:$B$26,"Turnover and Pace Work",I4:I26)</f>
        <v>0.4</v>
      </c>
      <c r="R5" s="30">
        <f>SUMIF($B$4:$B$26,"Turnover and Pace Work",J4:J26)</f>
        <v>0.6</v>
      </c>
      <c r="S5" s="40">
        <f t="shared" ref="S5:S10" si="2">Q5/$Q$10</f>
        <v>0.16666666666666669</v>
      </c>
      <c r="T5" s="40">
        <f t="shared" ref="T5:T10" si="3">R5/$R$10</f>
        <v>9.0909090909090912E-2</v>
      </c>
    </row>
    <row r="6" spans="1:20" ht="50" customHeight="1">
      <c r="A6" s="6" t="s">
        <v>42</v>
      </c>
      <c r="B6" s="6" t="str">
        <f>_xlfn.XLOOKUP(A6,TrainingTable[Training Component],TrainingTable[Category of Training Stimulus],"")</f>
        <v>Turnover and Pace Work</v>
      </c>
      <c r="C6" s="6" t="s">
        <v>55</v>
      </c>
      <c r="D6" s="6" t="s">
        <v>68</v>
      </c>
      <c r="E6" s="83" t="s">
        <v>85</v>
      </c>
      <c r="F6" s="83"/>
      <c r="G6" s="23">
        <v>1</v>
      </c>
      <c r="H6" s="23">
        <v>2</v>
      </c>
      <c r="I6" s="23">
        <v>0.4</v>
      </c>
      <c r="J6" s="23">
        <v>0.6</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t="s">
        <v>57</v>
      </c>
      <c r="D7" s="6" t="s">
        <v>57</v>
      </c>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76</v>
      </c>
      <c r="M10" s="23">
        <f>SUM(M4:M9)</f>
        <v>21</v>
      </c>
      <c r="N10" s="23">
        <f>SUM(N4:N9)</f>
        <v>47</v>
      </c>
      <c r="O10" s="47">
        <f>M10/M10</f>
        <v>1</v>
      </c>
      <c r="P10" s="45">
        <f t="shared" si="1"/>
        <v>1</v>
      </c>
      <c r="Q10" s="23">
        <f>SUM(Q4:Q9)</f>
        <v>2.4</v>
      </c>
      <c r="R10" s="23">
        <f>SUM(R4:R9)</f>
        <v>6.6</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A8" sqref="A8"/>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90</v>
      </c>
      <c r="B1" s="21">
        <v>45709</v>
      </c>
      <c r="C1" s="20" t="s">
        <v>87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74</v>
      </c>
      <c r="N2" s="84"/>
      <c r="O2" s="84"/>
      <c r="P2" s="84"/>
      <c r="Q2" s="82" t="s">
        <v>75</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19</v>
      </c>
      <c r="B4" s="6" t="str">
        <f>_xlfn.XLOOKUP(A4,TrainingTable[Training Component],TrainingTable[Category of Training Stimulus],"")</f>
        <v>Stretching and Mobility</v>
      </c>
      <c r="C4" s="6" t="s">
        <v>55</v>
      </c>
      <c r="D4" s="6" t="s">
        <v>67</v>
      </c>
      <c r="E4" s="83" t="s">
        <v>83</v>
      </c>
      <c r="F4" s="83"/>
      <c r="G4" s="23">
        <v>4</v>
      </c>
      <c r="H4" s="23">
        <v>5</v>
      </c>
      <c r="I4" s="23">
        <v>0.5</v>
      </c>
      <c r="J4" s="23">
        <v>0.5</v>
      </c>
      <c r="K4" s="2"/>
      <c r="L4" s="27" t="s">
        <v>73</v>
      </c>
      <c r="M4" s="28">
        <f>SUMIF($B$4:$B$26,"Aerobic Running",G4:G26)</f>
        <v>20</v>
      </c>
      <c r="N4" s="28">
        <f>SUMIF($B$4:$B$26,"Aerobic Running",H4:H26)</f>
        <v>60</v>
      </c>
      <c r="O4" s="39">
        <f t="shared" ref="O4:O9" si="0">M4/$M$10</f>
        <v>0.4</v>
      </c>
      <c r="P4" s="39">
        <f t="shared" ref="P4:P10" si="1">N4/$N$10</f>
        <v>0.66666666666666663</v>
      </c>
      <c r="Q4" s="28">
        <f>SUMIF($B$4:$B$26,"Aerobic Running",I4:I26)</f>
        <v>2</v>
      </c>
      <c r="R4" s="28">
        <f>SUMIF($B$4:$B$26,"Aerobic Running",J4:J26)</f>
        <v>8.5</v>
      </c>
      <c r="S4" s="39">
        <f>Q4/$Q$10</f>
        <v>0.36363636363636365</v>
      </c>
      <c r="T4" s="39">
        <f>R4/$R$10</f>
        <v>0.62962962962962965</v>
      </c>
    </row>
    <row r="5" spans="1:20" ht="50" customHeight="1">
      <c r="A5" s="6" t="s">
        <v>87</v>
      </c>
      <c r="B5" s="6" t="str">
        <f>_xlfn.XLOOKUP(A5,TrainingTable[Training Component],TrainingTable[Category of Training Stimulus],"")</f>
        <v>Aerobic Running</v>
      </c>
      <c r="C5" s="6" t="s">
        <v>55</v>
      </c>
      <c r="D5" s="6" t="s">
        <v>67</v>
      </c>
      <c r="E5" s="83" t="s">
        <v>203</v>
      </c>
      <c r="F5" s="83"/>
      <c r="G5" s="23">
        <v>20</v>
      </c>
      <c r="H5" s="23">
        <v>60</v>
      </c>
      <c r="I5" s="23">
        <v>2</v>
      </c>
      <c r="J5" s="23">
        <v>8.5</v>
      </c>
      <c r="K5" s="2"/>
      <c r="L5" s="29" t="s">
        <v>34</v>
      </c>
      <c r="M5" s="30">
        <f>SUMIF($B$4:$B$26,"Turnover and Pace Work",G4:G26)</f>
        <v>0</v>
      </c>
      <c r="N5" s="30">
        <f>SUMIF($B$4:$B$26,"Turnover and Pace Work",H4:H26)</f>
        <v>0</v>
      </c>
      <c r="O5" s="40">
        <f t="shared" si="0"/>
        <v>0</v>
      </c>
      <c r="P5" s="40">
        <f t="shared" si="1"/>
        <v>0</v>
      </c>
      <c r="Q5" s="30">
        <f>SUMIF($B$4:$B$26,"Turnover and Pace Work",I4:I26)</f>
        <v>0</v>
      </c>
      <c r="R5" s="30">
        <f>SUMIF($B$4:$B$26,"Turnover and Pace Work",J4:J26)</f>
        <v>0</v>
      </c>
      <c r="S5" s="40">
        <f t="shared" ref="S5:S10" si="2">Q5/$Q$10</f>
        <v>0</v>
      </c>
      <c r="T5" s="40">
        <f t="shared" ref="T5:T10" si="3">R5/$R$10</f>
        <v>0</v>
      </c>
    </row>
    <row r="6" spans="1:20" ht="50" customHeight="1">
      <c r="A6" s="6" t="s">
        <v>24</v>
      </c>
      <c r="B6" s="6" t="str">
        <f>_xlfn.XLOOKUP(A6,TrainingTable[Training Component],TrainingTable[Category of Training Stimulus],"")</f>
        <v>Threshold</v>
      </c>
      <c r="C6" s="6" t="s">
        <v>55</v>
      </c>
      <c r="D6" s="6" t="s">
        <v>67</v>
      </c>
      <c r="E6" s="83" t="s">
        <v>202</v>
      </c>
      <c r="F6" s="83"/>
      <c r="G6" s="23">
        <v>30</v>
      </c>
      <c r="H6" s="23">
        <v>30</v>
      </c>
      <c r="I6" s="23">
        <v>3.5</v>
      </c>
      <c r="J6" s="23">
        <v>5</v>
      </c>
      <c r="K6" s="2"/>
      <c r="L6" s="31" t="s">
        <v>22</v>
      </c>
      <c r="M6" s="32">
        <f>SUMIF($B$4:$B$26,"Threshold",G4:G26)</f>
        <v>30</v>
      </c>
      <c r="N6" s="32">
        <f>SUMIF($B$4:$B$26,"Threshold",H4:H26)</f>
        <v>30</v>
      </c>
      <c r="O6" s="41">
        <f t="shared" si="0"/>
        <v>0.6</v>
      </c>
      <c r="P6" s="41">
        <f t="shared" si="1"/>
        <v>0.33333333333333331</v>
      </c>
      <c r="Q6" s="32">
        <f>SUMIF($B$4:$B$26,"Threshold",I4:I26)</f>
        <v>3.5</v>
      </c>
      <c r="R6" s="32">
        <f>SUMIF($B$4:$B$26,"Threshold",J4:J26)</f>
        <v>5</v>
      </c>
      <c r="S6" s="41">
        <f t="shared" si="2"/>
        <v>0.63636363636363635</v>
      </c>
      <c r="T6" s="41">
        <f t="shared" si="3"/>
        <v>0.37037037037037035</v>
      </c>
    </row>
    <row r="7" spans="1:20" ht="50" customHeight="1">
      <c r="A7" s="6" t="s">
        <v>20</v>
      </c>
      <c r="B7" s="6" t="str">
        <f>_xlfn.XLOOKUP(A7,TrainingTable[Training Component],TrainingTable[Category of Training Stimulus],"")</f>
        <v>Stretching and Mobility</v>
      </c>
      <c r="C7" s="6" t="s">
        <v>57</v>
      </c>
      <c r="D7" s="6" t="s">
        <v>57</v>
      </c>
      <c r="E7" s="83" t="s">
        <v>88</v>
      </c>
      <c r="F7" s="83"/>
      <c r="G7" s="23">
        <v>5</v>
      </c>
      <c r="H7" s="23">
        <v>10</v>
      </c>
      <c r="I7" s="23">
        <v>0</v>
      </c>
      <c r="J7" s="23">
        <v>0</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t="s">
        <v>57</v>
      </c>
      <c r="D8" s="6" t="s">
        <v>57</v>
      </c>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t="s">
        <v>57</v>
      </c>
      <c r="D9" s="6" t="s">
        <v>57</v>
      </c>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76</v>
      </c>
      <c r="M10" s="23">
        <f>SUM(M4:M9)</f>
        <v>50</v>
      </c>
      <c r="N10" s="23">
        <f>SUM(N4:N9)</f>
        <v>90</v>
      </c>
      <c r="O10" s="47">
        <f>M10/M10</f>
        <v>1</v>
      </c>
      <c r="P10" s="45">
        <f t="shared" si="1"/>
        <v>1</v>
      </c>
      <c r="Q10" s="23">
        <f>SUM(Q4:Q9)</f>
        <v>5.5</v>
      </c>
      <c r="R10" s="23">
        <f>SUM(R4:R9)</f>
        <v>13.5</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B1" sqref="B1"/>
    </sheetView>
  </sheetViews>
  <sheetFormatPr baseColWidth="10" defaultRowHeight="17"/>
  <cols>
    <col min="1" max="1" width="43.6640625" style="2" customWidth="1"/>
    <col min="2" max="2" width="17.33203125" style="2" customWidth="1"/>
    <col min="3" max="4" width="17.33203125" style="16" customWidth="1"/>
    <col min="5" max="5" width="81.33203125" style="2" customWidth="1"/>
    <col min="6" max="26" width="10.83203125" style="2"/>
  </cols>
  <sheetData>
    <row r="1" spans="1:5" ht="50" customHeight="1">
      <c r="A1" s="3" t="s">
        <v>176</v>
      </c>
      <c r="B1" s="5" t="s">
        <v>9</v>
      </c>
    </row>
    <row r="2" spans="1:5" ht="19" customHeight="1"/>
    <row r="3" spans="1:5" ht="50" customHeight="1">
      <c r="A3" s="51" t="s">
        <v>110</v>
      </c>
      <c r="B3" s="51" t="s">
        <v>111</v>
      </c>
      <c r="C3" s="53" t="s">
        <v>112</v>
      </c>
      <c r="D3" s="53" t="s">
        <v>113</v>
      </c>
      <c r="E3" s="51" t="s">
        <v>13</v>
      </c>
    </row>
    <row r="4" spans="1:5" ht="50" customHeight="1">
      <c r="A4" s="6" t="str" cm="1">
        <f t="array" ref="A4:E8">_xlfn._xlws.FILTER(Strength_Core2[],Strength_Core2[Routine]=B1)</f>
        <v>Romanian Deadlift (weighted or single leg)</v>
      </c>
      <c r="B4" s="6" t="str">
        <v>Lower Body B</v>
      </c>
      <c r="C4" s="23">
        <v>3</v>
      </c>
      <c r="D4" s="23" t="str">
        <v>5-10</v>
      </c>
      <c r="E4" s="6" t="str">
        <v>https://www.youtube.com/watch?v=cWoPMoxYHz0</v>
      </c>
    </row>
    <row r="5" spans="1:5" ht="50" customHeight="1">
      <c r="A5" s="6" t="str">
        <v>Goblet Squat</v>
      </c>
      <c r="B5" s="6" t="str">
        <v>Lower Body B</v>
      </c>
      <c r="C5" s="23">
        <v>3</v>
      </c>
      <c r="D5" s="23" t="str">
        <v>8-12</v>
      </c>
      <c r="E5" s="6" t="str">
        <v>https://www.youtube.com/watch?v=yGswPtbSlro</v>
      </c>
    </row>
    <row r="6" spans="1:5" ht="50" customHeight="1">
      <c r="A6" s="6" t="str">
        <v>Reverse Lunge</v>
      </c>
      <c r="B6" s="6" t="str">
        <v>Lower Body B</v>
      </c>
      <c r="C6" s="23">
        <v>2</v>
      </c>
      <c r="D6" s="23" t="str">
        <v>15 each leg</v>
      </c>
      <c r="E6" s="6" t="str">
        <v>https://www.youtube.com/watch?v=5frs7_F2SrU&amp;pp=ygUNcmV2ZXJzZSBsdW5nZQ%3D%3D</v>
      </c>
    </row>
    <row r="7" spans="1:5" ht="50" customHeight="1">
      <c r="A7" s="6" t="str">
        <v>Step-Ups</v>
      </c>
      <c r="B7" s="6" t="str">
        <v>Lower Body B</v>
      </c>
      <c r="C7" s="23">
        <v>3</v>
      </c>
      <c r="D7" s="23" t="str">
        <v>10-15 each leg</v>
      </c>
      <c r="E7" s="6" t="str">
        <v>https://www.youtube.com/watch?v=elhu-WC1qk4&amp;pp=ygUIc3RlcCB1cHM%3D</v>
      </c>
    </row>
    <row r="8" spans="1:5" ht="50" customHeight="1">
      <c r="A8" s="6" t="str">
        <v>Single Leg Glute Bridge</v>
      </c>
      <c r="B8" s="6" t="str">
        <v>Lower Body B</v>
      </c>
      <c r="C8" s="23">
        <v>3</v>
      </c>
      <c r="D8" s="23" t="str">
        <v>10-15 each leg</v>
      </c>
      <c r="E8" s="6" t="str">
        <v>https://www.youtube.com/watch?v=egs6m4J8u8c</v>
      </c>
    </row>
    <row r="9" spans="1:5" ht="50" customHeight="1"/>
    <row r="10" spans="1:5" ht="50" customHeight="1"/>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0"/>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162</v>
      </c>
      <c r="F1" s="3" t="s">
        <v>102</v>
      </c>
    </row>
    <row r="2" spans="1:6">
      <c r="A2" s="2" t="str" cm="1">
        <f t="array" ref="A2:A9">_xlfn._xlws.SORT(_xlfn.UNIQUE(TrainingTable[Category of Training Stimulus]))</f>
        <v>Aerobic Running</v>
      </c>
      <c r="B2" s="2" t="str" cm="1">
        <f t="array" ref="B2:B30">_xlfn._xlws.SORT(_xlfn.UNIQUE(TrainingTable[Training Component]))</f>
        <v>10K Pace Running</v>
      </c>
      <c r="C2" s="2" t="s">
        <v>55</v>
      </c>
      <c r="D2" s="2" t="s">
        <v>67</v>
      </c>
      <c r="E2" s="2" t="str" cm="1">
        <f t="array" ref="E2:E9">_xlfn.UNIQUE(Strength_Core2[Routine])</f>
        <v>Lower Body A</v>
      </c>
      <c r="F2" s="2" t="s">
        <v>105</v>
      </c>
    </row>
    <row r="3" spans="1:6">
      <c r="A3" s="2" t="str">
        <v>Lactate Tolerance</v>
      </c>
      <c r="B3" s="2" t="str">
        <v>1600M Pace Running</v>
      </c>
      <c r="C3" s="2" t="s">
        <v>57</v>
      </c>
      <c r="D3" s="2" t="s">
        <v>66</v>
      </c>
      <c r="E3" s="2" t="str">
        <v>Lower Body B</v>
      </c>
      <c r="F3" s="2" t="s">
        <v>104</v>
      </c>
    </row>
    <row r="4" spans="1:6">
      <c r="A4" s="2" t="str">
        <v>Recovery</v>
      </c>
      <c r="B4" s="2" t="str">
        <v>30M Flys</v>
      </c>
      <c r="C4" s="2" t="s">
        <v>56</v>
      </c>
      <c r="D4" s="2" t="s">
        <v>65</v>
      </c>
      <c r="E4" s="2" t="str">
        <v>Lower Body C</v>
      </c>
      <c r="F4" s="2" t="s">
        <v>106</v>
      </c>
    </row>
    <row r="5" spans="1:6">
      <c r="A5" s="2" t="str">
        <v>Speed Development</v>
      </c>
      <c r="B5" s="2" t="str">
        <v>3K Pace Running</v>
      </c>
      <c r="C5" s="2" t="s">
        <v>58</v>
      </c>
      <c r="D5" s="2" t="s">
        <v>57</v>
      </c>
      <c r="E5" s="2" t="str">
        <v>Lower Body D</v>
      </c>
      <c r="F5" s="2" t="s">
        <v>107</v>
      </c>
    </row>
    <row r="6" spans="1:6">
      <c r="A6" s="2" t="str">
        <v>Stretching and Mobility</v>
      </c>
      <c r="B6" s="2" t="str">
        <v>400M Pace Running</v>
      </c>
      <c r="D6" s="2" t="s">
        <v>63</v>
      </c>
      <c r="E6" s="2" t="str">
        <v>Core A</v>
      </c>
      <c r="F6" s="2" t="s">
        <v>89</v>
      </c>
    </row>
    <row r="7" spans="1:6">
      <c r="A7" s="2" t="str">
        <v>Threshold</v>
      </c>
      <c r="B7" s="2" t="str">
        <v>50M Flys</v>
      </c>
      <c r="D7" s="2" t="s">
        <v>64</v>
      </c>
      <c r="E7" s="2" t="str">
        <v>Core B</v>
      </c>
      <c r="F7" s="2" t="s">
        <v>108</v>
      </c>
    </row>
    <row r="8" spans="1:6">
      <c r="A8" s="2" t="str">
        <v>Turnover and Pace Work</v>
      </c>
      <c r="B8" s="2" t="str">
        <v>5K Pace Running</v>
      </c>
      <c r="D8" s="2" t="s">
        <v>68</v>
      </c>
      <c r="E8" s="2" t="str">
        <v>Core C</v>
      </c>
      <c r="F8" s="2" t="s">
        <v>87</v>
      </c>
    </row>
    <row r="9" spans="1:6">
      <c r="A9" s="2" t="str">
        <v>VO2 Max</v>
      </c>
      <c r="B9" s="2" t="str">
        <v>800M Pace Running</v>
      </c>
      <c r="E9" s="2" t="str">
        <v>Upper Body A</v>
      </c>
    </row>
    <row r="10" spans="1:6">
      <c r="B10" s="2" t="str">
        <v>80M Flys</v>
      </c>
    </row>
    <row r="11" spans="1:6">
      <c r="B11" s="2" t="str">
        <v>Cooldown</v>
      </c>
    </row>
    <row r="12" spans="1:6">
      <c r="B12" s="2" t="str">
        <v>Dynamic Stretching</v>
      </c>
    </row>
    <row r="13" spans="1:6">
      <c r="B13" s="2" t="str">
        <v>Easy Running</v>
      </c>
    </row>
    <row r="14" spans="1:6">
      <c r="B14" s="2" t="str">
        <v>Float Recovery</v>
      </c>
    </row>
    <row r="15" spans="1:6">
      <c r="B15" s="2" t="str">
        <v>Hurdle Mobility</v>
      </c>
    </row>
    <row r="16" spans="1:6">
      <c r="B16" s="2" t="str">
        <v>Jog Recovery</v>
      </c>
    </row>
    <row r="17" spans="2:2">
      <c r="B17" s="2" t="str">
        <v>Long Run</v>
      </c>
    </row>
    <row r="18" spans="2:2">
      <c r="B18" s="2" t="str">
        <v>Race</v>
      </c>
    </row>
    <row r="19" spans="2:2">
      <c r="B19" s="2" t="str">
        <v>Race Pace (1600M)</v>
      </c>
    </row>
    <row r="20" spans="2:2">
      <c r="B20" s="2" t="str">
        <v>Race Pace (3K)</v>
      </c>
    </row>
    <row r="21" spans="2:2">
      <c r="B21" s="2" t="str">
        <v>Race Pace (5K)</v>
      </c>
    </row>
    <row r="22" spans="2:2">
      <c r="B22" s="2" t="str">
        <v>Race Pace (800M)</v>
      </c>
    </row>
    <row r="23" spans="2:2">
      <c r="B23" s="2" t="str">
        <v>Standing Rest</v>
      </c>
    </row>
    <row r="24" spans="2:2">
      <c r="B24" s="2" t="str">
        <v>Static Stretching</v>
      </c>
    </row>
    <row r="25" spans="2:2">
      <c r="B25" s="2" t="str">
        <v>Strides (Post-Run)</v>
      </c>
    </row>
    <row r="26" spans="2:2">
      <c r="B26" s="2" t="str">
        <v>Strides (Pre-Run)</v>
      </c>
    </row>
    <row r="27" spans="2:2">
      <c r="B27" s="2" t="str">
        <v>Sub-Threshold Running</v>
      </c>
    </row>
    <row r="28" spans="2:2">
      <c r="B28" s="2" t="str">
        <v>Threshold Running</v>
      </c>
    </row>
    <row r="29" spans="2:2">
      <c r="B29" s="2" t="str">
        <v>Walking Rest</v>
      </c>
    </row>
    <row r="30" spans="2:2">
      <c r="B30"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zoomScale="160" zoomScaleNormal="160" workbookViewId="0">
      <selection activeCell="B5" sqref="B5"/>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87</v>
      </c>
      <c r="C29" s="14"/>
    </row>
    <row r="30" spans="1:3" ht="35" customHeight="1">
      <c r="A30" s="12" t="s">
        <v>2</v>
      </c>
      <c r="B30" s="13" t="s">
        <v>89</v>
      </c>
      <c r="C30" s="14"/>
    </row>
    <row r="31" spans="1:3" ht="25" customHeight="1"/>
    <row r="32" spans="1:3"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C22" sqref="C22"/>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110</v>
      </c>
      <c r="B1" s="3" t="s">
        <v>111</v>
      </c>
      <c r="C1" s="15" t="s">
        <v>112</v>
      </c>
      <c r="D1" s="72" t="s">
        <v>113</v>
      </c>
      <c r="E1" s="3" t="s">
        <v>13</v>
      </c>
      <c r="F1" s="2"/>
      <c r="G1" s="2"/>
      <c r="H1" s="2"/>
      <c r="I1" s="2"/>
      <c r="J1" s="2"/>
      <c r="K1" s="2"/>
      <c r="L1" s="2"/>
      <c r="M1" s="2"/>
    </row>
    <row r="2" spans="1:13" s="4" customFormat="1" ht="30" customHeight="1">
      <c r="A2" s="2" t="s">
        <v>114</v>
      </c>
      <c r="B2" s="2" t="s">
        <v>8</v>
      </c>
      <c r="C2" s="16">
        <v>3</v>
      </c>
      <c r="D2" s="73" t="s">
        <v>120</v>
      </c>
      <c r="E2" s="78" t="s">
        <v>168</v>
      </c>
      <c r="F2" s="2"/>
      <c r="G2" s="2"/>
      <c r="H2" s="2"/>
      <c r="I2" s="2"/>
      <c r="J2" s="2"/>
      <c r="K2" s="2"/>
      <c r="L2" s="2"/>
      <c r="M2" s="2"/>
    </row>
    <row r="3" spans="1:13" s="4" customFormat="1" ht="30" customHeight="1">
      <c r="A3" s="2" t="s">
        <v>116</v>
      </c>
      <c r="B3" s="2" t="s">
        <v>8</v>
      </c>
      <c r="C3" s="16">
        <v>3</v>
      </c>
      <c r="D3" s="73" t="s">
        <v>115</v>
      </c>
      <c r="E3" s="78" t="s">
        <v>169</v>
      </c>
      <c r="F3" s="2"/>
      <c r="G3" s="2"/>
      <c r="H3" s="2"/>
      <c r="I3" s="2"/>
      <c r="J3" s="2"/>
      <c r="K3" s="2"/>
      <c r="L3" s="2"/>
      <c r="M3" s="2"/>
    </row>
    <row r="4" spans="1:13" s="4" customFormat="1" ht="30" customHeight="1">
      <c r="A4" s="2" t="s">
        <v>117</v>
      </c>
      <c r="B4" s="2" t="s">
        <v>8</v>
      </c>
      <c r="C4" s="16">
        <v>2</v>
      </c>
      <c r="D4" s="73" t="s">
        <v>115</v>
      </c>
      <c r="E4" s="78" t="s">
        <v>170</v>
      </c>
      <c r="F4" s="2"/>
      <c r="G4" s="2"/>
      <c r="H4" s="2"/>
      <c r="I4" s="2"/>
      <c r="J4" s="2"/>
      <c r="K4" s="2"/>
      <c r="L4" s="2"/>
      <c r="M4" s="2"/>
    </row>
    <row r="5" spans="1:13" s="4" customFormat="1" ht="30" customHeight="1">
      <c r="A5" s="2" t="s">
        <v>118</v>
      </c>
      <c r="B5" s="2" t="s">
        <v>8</v>
      </c>
      <c r="C5" s="16">
        <v>2</v>
      </c>
      <c r="D5" s="73" t="s">
        <v>119</v>
      </c>
      <c r="E5" s="78" t="s">
        <v>171</v>
      </c>
      <c r="F5" s="2"/>
      <c r="G5" s="2"/>
      <c r="H5" s="2"/>
      <c r="I5" s="2"/>
      <c r="J5" s="2"/>
      <c r="K5" s="2"/>
      <c r="L5" s="2"/>
      <c r="M5" s="2"/>
    </row>
    <row r="6" spans="1:13" s="4" customFormat="1" ht="30" customHeight="1">
      <c r="A6" s="2" t="s">
        <v>121</v>
      </c>
      <c r="B6" s="2" t="s">
        <v>8</v>
      </c>
      <c r="C6" s="16">
        <v>3</v>
      </c>
      <c r="D6" s="73" t="s">
        <v>122</v>
      </c>
      <c r="E6" s="77" t="s">
        <v>172</v>
      </c>
      <c r="F6" s="2"/>
      <c r="G6" s="2"/>
      <c r="H6" s="2"/>
      <c r="I6" s="2"/>
      <c r="J6" s="2"/>
      <c r="K6" s="2"/>
      <c r="L6" s="2"/>
      <c r="M6" s="2"/>
    </row>
    <row r="7" spans="1:13" s="4" customFormat="1" ht="30" customHeight="1">
      <c r="A7" s="2" t="s">
        <v>123</v>
      </c>
      <c r="B7" s="2" t="s">
        <v>9</v>
      </c>
      <c r="C7" s="16">
        <v>3</v>
      </c>
      <c r="D7" s="73" t="s">
        <v>124</v>
      </c>
      <c r="E7" s="77" t="s">
        <v>173</v>
      </c>
      <c r="F7" s="2"/>
      <c r="G7" s="2"/>
      <c r="H7" s="2"/>
      <c r="I7" s="2"/>
      <c r="J7" s="2"/>
      <c r="K7" s="2"/>
      <c r="L7" s="2"/>
      <c r="M7" s="2"/>
    </row>
    <row r="8" spans="1:13" s="4" customFormat="1" ht="30" customHeight="1">
      <c r="A8" s="2" t="s">
        <v>125</v>
      </c>
      <c r="B8" s="2" t="s">
        <v>9</v>
      </c>
      <c r="C8" s="16">
        <v>3</v>
      </c>
      <c r="D8" s="73" t="s">
        <v>126</v>
      </c>
      <c r="E8" s="77" t="s">
        <v>174</v>
      </c>
      <c r="F8" s="2"/>
      <c r="G8" s="2"/>
      <c r="H8" s="2"/>
      <c r="I8" s="2"/>
      <c r="J8" s="2"/>
      <c r="K8" s="2"/>
      <c r="L8" s="2"/>
      <c r="M8" s="2"/>
    </row>
    <row r="9" spans="1:13" s="4" customFormat="1" ht="30" customHeight="1">
      <c r="A9" s="2" t="s">
        <v>175</v>
      </c>
      <c r="B9" s="2" t="s">
        <v>9</v>
      </c>
      <c r="C9" s="16">
        <v>2</v>
      </c>
      <c r="D9" s="73" t="s">
        <v>127</v>
      </c>
      <c r="E9" s="78" t="s">
        <v>177</v>
      </c>
      <c r="F9" s="2"/>
      <c r="G9" s="2"/>
      <c r="H9" s="2"/>
      <c r="I9" s="2"/>
      <c r="J9" s="2"/>
      <c r="K9" s="2"/>
      <c r="L9" s="2"/>
      <c r="M9" s="2"/>
    </row>
    <row r="10" spans="1:13" s="4" customFormat="1" ht="30" customHeight="1">
      <c r="A10" s="2" t="s">
        <v>128</v>
      </c>
      <c r="B10" s="2" t="s">
        <v>9</v>
      </c>
      <c r="C10" s="16">
        <v>3</v>
      </c>
      <c r="D10" s="73" t="s">
        <v>119</v>
      </c>
      <c r="E10" s="78" t="s">
        <v>178</v>
      </c>
      <c r="F10" s="2"/>
      <c r="G10" s="2"/>
      <c r="H10" s="2"/>
      <c r="I10" s="2"/>
      <c r="J10" s="2"/>
      <c r="K10" s="2"/>
      <c r="L10" s="2"/>
      <c r="M10" s="2"/>
    </row>
    <row r="11" spans="1:13" s="4" customFormat="1" ht="30" customHeight="1">
      <c r="A11" s="2" t="s">
        <v>129</v>
      </c>
      <c r="B11" s="2" t="s">
        <v>9</v>
      </c>
      <c r="C11" s="16">
        <v>3</v>
      </c>
      <c r="D11" s="73" t="s">
        <v>119</v>
      </c>
      <c r="E11" s="78" t="s">
        <v>179</v>
      </c>
      <c r="F11" s="2"/>
      <c r="G11" s="2"/>
      <c r="H11" s="2"/>
      <c r="I11" s="2"/>
      <c r="J11" s="2"/>
      <c r="K11" s="2"/>
      <c r="L11" s="2"/>
      <c r="M11" s="2"/>
    </row>
    <row r="12" spans="1:13" s="4" customFormat="1" ht="30" customHeight="1">
      <c r="A12" s="2" t="s">
        <v>130</v>
      </c>
      <c r="B12" s="2" t="s">
        <v>131</v>
      </c>
      <c r="C12" s="16">
        <v>2</v>
      </c>
      <c r="D12" s="73" t="s">
        <v>134</v>
      </c>
      <c r="E12" s="78" t="s">
        <v>180</v>
      </c>
      <c r="F12" s="2"/>
      <c r="G12" s="2"/>
      <c r="H12" s="2"/>
      <c r="I12" s="2"/>
      <c r="J12" s="2"/>
      <c r="K12" s="2"/>
      <c r="L12" s="2"/>
      <c r="M12" s="2"/>
    </row>
    <row r="13" spans="1:13" s="4" customFormat="1" ht="30" customHeight="1">
      <c r="A13" s="2" t="s">
        <v>132</v>
      </c>
      <c r="B13" s="2" t="s">
        <v>131</v>
      </c>
      <c r="C13" s="16">
        <v>2</v>
      </c>
      <c r="D13" s="73" t="s">
        <v>135</v>
      </c>
      <c r="E13" s="78" t="s">
        <v>181</v>
      </c>
      <c r="F13" s="2"/>
      <c r="G13" s="2"/>
      <c r="H13" s="2"/>
      <c r="I13" s="2"/>
      <c r="J13" s="2"/>
      <c r="K13" s="2"/>
      <c r="L13" s="2"/>
      <c r="M13" s="2"/>
    </row>
    <row r="14" spans="1:13" s="4" customFormat="1" ht="30" customHeight="1">
      <c r="A14" s="2" t="s">
        <v>133</v>
      </c>
      <c r="B14" s="2" t="s">
        <v>131</v>
      </c>
      <c r="C14" s="16">
        <v>2</v>
      </c>
      <c r="D14" s="73" t="s">
        <v>134</v>
      </c>
      <c r="E14" s="2"/>
      <c r="F14" s="2"/>
      <c r="G14" s="2"/>
      <c r="H14" s="2"/>
      <c r="I14" s="2"/>
      <c r="J14" s="2"/>
      <c r="K14" s="2"/>
      <c r="L14" s="2"/>
      <c r="M14" s="2"/>
    </row>
    <row r="15" spans="1:13" s="4" customFormat="1" ht="30" customHeight="1">
      <c r="A15" s="2" t="s">
        <v>136</v>
      </c>
      <c r="B15" s="2" t="s">
        <v>131</v>
      </c>
      <c r="C15" s="16">
        <v>2</v>
      </c>
      <c r="D15" s="73" t="s">
        <v>137</v>
      </c>
      <c r="E15" s="2"/>
      <c r="F15" s="2"/>
      <c r="G15" s="2"/>
      <c r="H15" s="2"/>
      <c r="I15" s="2"/>
      <c r="J15" s="2"/>
      <c r="K15" s="2"/>
      <c r="L15" s="2"/>
      <c r="M15" s="2"/>
    </row>
    <row r="16" spans="1:13" s="4" customFormat="1" ht="30" customHeight="1">
      <c r="A16" s="2" t="s">
        <v>138</v>
      </c>
      <c r="B16" s="2" t="s">
        <v>131</v>
      </c>
      <c r="C16" s="16">
        <v>2</v>
      </c>
      <c r="D16" s="73" t="s">
        <v>126</v>
      </c>
      <c r="E16" s="2"/>
      <c r="F16" s="2"/>
      <c r="G16" s="2"/>
      <c r="H16" s="2"/>
      <c r="I16" s="2"/>
      <c r="J16" s="2"/>
      <c r="K16" s="2"/>
      <c r="L16" s="2"/>
      <c r="M16" s="2"/>
    </row>
    <row r="17" spans="1:13" s="4" customFormat="1" ht="30" customHeight="1">
      <c r="A17" s="2" t="s">
        <v>139</v>
      </c>
      <c r="B17" s="2" t="s">
        <v>140</v>
      </c>
      <c r="C17" s="16">
        <v>2</v>
      </c>
      <c r="D17" s="73" t="s">
        <v>122</v>
      </c>
      <c r="E17" s="2"/>
      <c r="F17" s="2"/>
      <c r="G17" s="2"/>
      <c r="H17" s="2"/>
      <c r="I17" s="2"/>
      <c r="J17" s="2"/>
      <c r="K17" s="2"/>
      <c r="L17" s="2"/>
      <c r="M17" s="2"/>
    </row>
    <row r="18" spans="1:13" s="4" customFormat="1" ht="30" customHeight="1">
      <c r="A18" s="2" t="s">
        <v>141</v>
      </c>
      <c r="B18" s="2" t="s">
        <v>140</v>
      </c>
      <c r="C18" s="16">
        <v>2</v>
      </c>
      <c r="D18" s="73" t="s">
        <v>115</v>
      </c>
      <c r="E18" s="2"/>
      <c r="F18" s="2"/>
      <c r="G18" s="2"/>
      <c r="H18" s="2"/>
      <c r="I18" s="2"/>
      <c r="J18" s="2"/>
      <c r="K18" s="2"/>
      <c r="L18" s="2"/>
      <c r="M18" s="2"/>
    </row>
    <row r="19" spans="1:13" s="4" customFormat="1" ht="30" customHeight="1">
      <c r="A19" s="2" t="s">
        <v>146</v>
      </c>
      <c r="B19" s="2" t="s">
        <v>140</v>
      </c>
      <c r="C19" s="16">
        <v>2</v>
      </c>
      <c r="D19" s="73" t="s">
        <v>134</v>
      </c>
      <c r="E19" s="2"/>
      <c r="F19" s="2"/>
      <c r="G19" s="2"/>
      <c r="H19" s="2"/>
      <c r="I19" s="2"/>
      <c r="J19" s="2"/>
      <c r="K19" s="2"/>
      <c r="L19" s="2"/>
      <c r="M19" s="2"/>
    </row>
    <row r="20" spans="1:13" s="4" customFormat="1" ht="30" customHeight="1">
      <c r="A20" s="2" t="s">
        <v>142</v>
      </c>
      <c r="B20" s="2" t="s">
        <v>140</v>
      </c>
      <c r="C20" s="16">
        <v>2</v>
      </c>
      <c r="D20" s="73" t="s">
        <v>145</v>
      </c>
      <c r="E20" s="2"/>
      <c r="F20" s="2"/>
      <c r="G20" s="2"/>
      <c r="H20" s="2"/>
      <c r="I20" s="2"/>
      <c r="J20" s="2"/>
      <c r="K20" s="2"/>
      <c r="L20" s="2"/>
      <c r="M20" s="2"/>
    </row>
    <row r="21" spans="1:13" s="4" customFormat="1" ht="30" customHeight="1">
      <c r="A21" s="2" t="s">
        <v>143</v>
      </c>
      <c r="B21" s="2" t="s">
        <v>140</v>
      </c>
      <c r="C21" s="16">
        <v>2</v>
      </c>
      <c r="D21" s="73" t="s">
        <v>144</v>
      </c>
      <c r="E21" s="2"/>
      <c r="F21" s="2"/>
      <c r="G21" s="2"/>
      <c r="H21" s="2"/>
      <c r="I21" s="2"/>
      <c r="J21" s="2"/>
      <c r="K21" s="2"/>
      <c r="L21" s="2"/>
      <c r="M21" s="2"/>
    </row>
    <row r="22" spans="1:13" s="4" customFormat="1" ht="30" customHeight="1">
      <c r="A22" s="2" t="s">
        <v>147</v>
      </c>
      <c r="B22" s="2" t="s">
        <v>4</v>
      </c>
      <c r="C22" s="16">
        <v>1</v>
      </c>
      <c r="D22" s="73" t="s">
        <v>122</v>
      </c>
      <c r="E22" s="2"/>
      <c r="F22" s="2"/>
      <c r="G22" s="2"/>
      <c r="H22" s="2"/>
      <c r="I22" s="2"/>
      <c r="J22" s="2"/>
      <c r="K22" s="2"/>
      <c r="L22" s="2"/>
      <c r="M22" s="2"/>
    </row>
    <row r="23" spans="1:13" s="4" customFormat="1" ht="30" customHeight="1">
      <c r="A23" s="2" t="s">
        <v>148</v>
      </c>
      <c r="B23" s="2" t="s">
        <v>4</v>
      </c>
      <c r="C23" s="16">
        <v>1</v>
      </c>
      <c r="D23" s="73" t="s">
        <v>149</v>
      </c>
      <c r="E23" s="2"/>
      <c r="F23" s="2"/>
      <c r="G23" s="2"/>
      <c r="H23" s="2"/>
      <c r="I23" s="2"/>
      <c r="J23" s="2"/>
      <c r="K23" s="2"/>
      <c r="L23" s="2"/>
      <c r="M23" s="2"/>
    </row>
    <row r="24" spans="1:13" s="4" customFormat="1" ht="30" customHeight="1">
      <c r="A24" s="2" t="s">
        <v>150</v>
      </c>
      <c r="B24" s="2" t="s">
        <v>4</v>
      </c>
      <c r="C24" s="16">
        <v>1</v>
      </c>
      <c r="D24" s="73" t="s">
        <v>151</v>
      </c>
      <c r="E24" s="2"/>
      <c r="F24" s="2"/>
      <c r="G24" s="2"/>
      <c r="H24" s="2"/>
      <c r="I24" s="2"/>
      <c r="J24" s="2"/>
      <c r="K24" s="2"/>
      <c r="L24" s="2"/>
      <c r="M24" s="2"/>
    </row>
    <row r="25" spans="1:13" s="4" customFormat="1" ht="30" customHeight="1">
      <c r="A25" s="2" t="s">
        <v>152</v>
      </c>
      <c r="B25" s="2" t="s">
        <v>4</v>
      </c>
      <c r="C25" s="16">
        <v>1</v>
      </c>
      <c r="D25" s="73" t="s">
        <v>122</v>
      </c>
      <c r="E25" s="2"/>
      <c r="F25" s="2"/>
      <c r="G25" s="2"/>
      <c r="H25" s="2"/>
      <c r="I25" s="2"/>
      <c r="J25" s="2"/>
      <c r="K25" s="2"/>
      <c r="L25" s="2"/>
      <c r="M25" s="2"/>
    </row>
    <row r="26" spans="1:13" s="4" customFormat="1" ht="30" customHeight="1">
      <c r="A26" s="2" t="s">
        <v>153</v>
      </c>
      <c r="B26" s="2" t="s">
        <v>4</v>
      </c>
      <c r="C26" s="16">
        <v>1</v>
      </c>
      <c r="D26" s="73" t="s">
        <v>154</v>
      </c>
      <c r="E26" s="2"/>
      <c r="F26" s="2"/>
      <c r="G26" s="2"/>
      <c r="H26" s="2"/>
      <c r="I26" s="2"/>
      <c r="J26" s="2"/>
      <c r="K26" s="2"/>
      <c r="L26" s="2"/>
      <c r="M26" s="2"/>
    </row>
    <row r="27" spans="1:13" s="4" customFormat="1" ht="30" customHeight="1">
      <c r="A27" s="2" t="s">
        <v>155</v>
      </c>
      <c r="B27" s="2" t="s">
        <v>5</v>
      </c>
      <c r="C27" s="16">
        <v>1</v>
      </c>
      <c r="D27" s="73" t="s">
        <v>122</v>
      </c>
      <c r="E27" s="2"/>
      <c r="F27" s="2"/>
      <c r="G27" s="2"/>
      <c r="H27" s="2"/>
      <c r="I27" s="2"/>
      <c r="J27" s="2"/>
      <c r="K27" s="2"/>
      <c r="L27" s="2"/>
      <c r="M27" s="2"/>
    </row>
    <row r="28" spans="1:13" s="4" customFormat="1" ht="30" customHeight="1">
      <c r="A28" s="2" t="s">
        <v>156</v>
      </c>
      <c r="B28" s="2" t="s">
        <v>5</v>
      </c>
      <c r="C28" s="16">
        <v>1</v>
      </c>
      <c r="D28" s="73" t="s">
        <v>122</v>
      </c>
      <c r="E28" s="2"/>
      <c r="F28" s="2"/>
      <c r="G28" s="2"/>
      <c r="H28" s="2"/>
      <c r="I28" s="2"/>
      <c r="J28" s="2"/>
      <c r="K28" s="2"/>
      <c r="L28" s="2"/>
      <c r="M28" s="2"/>
    </row>
    <row r="29" spans="1:13" s="4" customFormat="1" ht="30" customHeight="1">
      <c r="A29" s="2" t="s">
        <v>157</v>
      </c>
      <c r="B29" s="2" t="s">
        <v>5</v>
      </c>
      <c r="C29" s="16">
        <v>1</v>
      </c>
      <c r="D29" s="73" t="s">
        <v>158</v>
      </c>
      <c r="E29" s="2"/>
      <c r="F29" s="2"/>
      <c r="G29" s="2"/>
      <c r="H29" s="2"/>
      <c r="I29" s="2"/>
      <c r="J29" s="2"/>
      <c r="K29" s="2"/>
      <c r="L29" s="2"/>
      <c r="M29" s="2"/>
    </row>
    <row r="30" spans="1:13" s="4" customFormat="1" ht="30" customHeight="1">
      <c r="A30" s="2" t="s">
        <v>150</v>
      </c>
      <c r="B30" s="2" t="s">
        <v>5</v>
      </c>
      <c r="C30" s="16">
        <v>1</v>
      </c>
      <c r="D30" s="73" t="s">
        <v>151</v>
      </c>
      <c r="E30" s="2"/>
      <c r="F30" s="2"/>
      <c r="G30" s="2"/>
      <c r="H30" s="2"/>
      <c r="I30" s="2"/>
      <c r="J30" s="2"/>
      <c r="K30" s="2"/>
      <c r="L30" s="2"/>
      <c r="M30" s="2"/>
    </row>
    <row r="31" spans="1:13" s="4" customFormat="1" ht="30" customHeight="1">
      <c r="A31" s="2" t="s">
        <v>159</v>
      </c>
      <c r="B31" s="2" t="s">
        <v>5</v>
      </c>
      <c r="C31" s="16">
        <v>1</v>
      </c>
      <c r="D31" s="73" t="s">
        <v>160</v>
      </c>
      <c r="E31" s="2"/>
      <c r="F31" s="2"/>
      <c r="G31" s="2"/>
      <c r="H31" s="2"/>
      <c r="I31" s="2"/>
      <c r="J31" s="2"/>
      <c r="K31" s="2"/>
      <c r="L31" s="2"/>
      <c r="M31" s="2"/>
    </row>
    <row r="32" spans="1:13" s="4" customFormat="1" ht="30" customHeight="1">
      <c r="A32" s="2" t="s">
        <v>147</v>
      </c>
      <c r="B32" s="2" t="s">
        <v>6</v>
      </c>
      <c r="C32" s="16">
        <v>1</v>
      </c>
      <c r="D32" s="73" t="s">
        <v>122</v>
      </c>
      <c r="E32" s="2"/>
      <c r="F32" s="2"/>
      <c r="G32" s="2"/>
      <c r="H32" s="2"/>
      <c r="I32" s="2"/>
      <c r="J32" s="2"/>
      <c r="K32" s="2"/>
      <c r="L32" s="2"/>
      <c r="M32" s="2"/>
    </row>
    <row r="33" spans="1:13" s="4" customFormat="1" ht="30" customHeight="1">
      <c r="A33" s="2" t="s">
        <v>156</v>
      </c>
      <c r="B33" s="2" t="s">
        <v>6</v>
      </c>
      <c r="C33" s="16">
        <v>1</v>
      </c>
      <c r="D33" s="73" t="s">
        <v>122</v>
      </c>
      <c r="E33" s="2"/>
      <c r="F33" s="2"/>
      <c r="G33" s="2"/>
      <c r="H33" s="2"/>
      <c r="I33" s="2"/>
      <c r="J33" s="2"/>
      <c r="K33" s="2"/>
      <c r="L33" s="2"/>
      <c r="M33" s="2"/>
    </row>
    <row r="34" spans="1:13" s="4" customFormat="1" ht="30" customHeight="1">
      <c r="A34" s="2" t="s">
        <v>152</v>
      </c>
      <c r="B34" s="2" t="s">
        <v>6</v>
      </c>
      <c r="C34" s="16">
        <v>1</v>
      </c>
      <c r="D34" s="73" t="s">
        <v>122</v>
      </c>
      <c r="E34" s="2"/>
      <c r="F34" s="2"/>
      <c r="G34" s="2"/>
      <c r="H34" s="2"/>
      <c r="I34" s="2"/>
      <c r="J34" s="2"/>
      <c r="K34" s="2"/>
      <c r="L34" s="2"/>
      <c r="M34" s="2"/>
    </row>
    <row r="35" spans="1:13" s="4" customFormat="1" ht="30" customHeight="1">
      <c r="A35" s="2" t="s">
        <v>153</v>
      </c>
      <c r="B35" s="2" t="s">
        <v>6</v>
      </c>
      <c r="C35" s="16">
        <v>1</v>
      </c>
      <c r="D35" s="73" t="s">
        <v>154</v>
      </c>
      <c r="E35" s="2"/>
      <c r="F35" s="2"/>
      <c r="G35" s="2"/>
      <c r="H35" s="2"/>
      <c r="I35" s="2"/>
      <c r="J35" s="2"/>
      <c r="K35" s="2"/>
      <c r="L35" s="2"/>
      <c r="M35" s="2"/>
    </row>
    <row r="36" spans="1:13" s="4" customFormat="1" ht="30" customHeight="1">
      <c r="A36" s="2" t="s">
        <v>161</v>
      </c>
      <c r="B36" s="2" t="s">
        <v>6</v>
      </c>
      <c r="C36" s="16">
        <v>1</v>
      </c>
      <c r="D36" s="73" t="s">
        <v>122</v>
      </c>
      <c r="E36" s="2"/>
      <c r="F36" s="2"/>
      <c r="G36" s="2"/>
      <c r="H36" s="2"/>
      <c r="I36" s="2"/>
      <c r="J36" s="2"/>
      <c r="K36" s="2"/>
      <c r="L36" s="2"/>
      <c r="M36" s="2"/>
    </row>
    <row r="37" spans="1:13" s="4" customFormat="1" ht="30" customHeight="1">
      <c r="A37" s="2" t="s">
        <v>184</v>
      </c>
      <c r="B37" s="2" t="s">
        <v>7</v>
      </c>
      <c r="C37" s="16">
        <v>2</v>
      </c>
      <c r="D37" s="73" t="s">
        <v>186</v>
      </c>
      <c r="E37" s="2"/>
      <c r="F37" s="2"/>
      <c r="G37" s="2"/>
      <c r="H37" s="2"/>
      <c r="I37" s="2"/>
      <c r="J37" s="2"/>
      <c r="K37" s="2"/>
      <c r="L37" s="2"/>
      <c r="M37" s="2"/>
    </row>
    <row r="38" spans="1:13" s="4" customFormat="1" ht="30" customHeight="1">
      <c r="A38" s="2" t="s">
        <v>185</v>
      </c>
      <c r="B38" s="2" t="s">
        <v>7</v>
      </c>
      <c r="C38" s="16">
        <v>2</v>
      </c>
      <c r="D38" s="73" t="s">
        <v>186</v>
      </c>
      <c r="E38" s="2"/>
      <c r="F38" s="2"/>
      <c r="G38" s="2"/>
      <c r="H38" s="2"/>
      <c r="I38" s="2"/>
      <c r="J38" s="2"/>
      <c r="K38" s="2"/>
      <c r="L38" s="2"/>
      <c r="M38" s="2"/>
    </row>
    <row r="39" spans="1:13" s="4" customFormat="1" ht="30" customHeight="1">
      <c r="A39" s="2" t="s">
        <v>187</v>
      </c>
      <c r="B39" s="2" t="s">
        <v>7</v>
      </c>
      <c r="C39" s="16">
        <v>2</v>
      </c>
      <c r="D39" s="73" t="s">
        <v>186</v>
      </c>
      <c r="E39" s="2"/>
      <c r="F39" s="2"/>
      <c r="G39" s="2"/>
      <c r="H39" s="2"/>
      <c r="I39" s="2"/>
      <c r="J39" s="2"/>
      <c r="K39" s="2"/>
      <c r="L39" s="2"/>
      <c r="M39" s="2"/>
    </row>
    <row r="40" spans="1:13" s="4" customFormat="1" ht="30" customHeight="1">
      <c r="A40" s="2" t="s">
        <v>188</v>
      </c>
      <c r="B40" s="2" t="s">
        <v>7</v>
      </c>
      <c r="C40" s="16">
        <v>2</v>
      </c>
      <c r="D40" s="73" t="s">
        <v>186</v>
      </c>
      <c r="E40" s="2"/>
      <c r="F40" s="2"/>
      <c r="G40" s="2"/>
      <c r="H40" s="2"/>
      <c r="I40" s="2"/>
      <c r="J40" s="2"/>
      <c r="K40" s="2"/>
      <c r="L40" s="2"/>
      <c r="M40" s="2"/>
    </row>
    <row r="41" spans="1:13" s="4" customFormat="1" ht="30" customHeight="1">
      <c r="A41" s="2"/>
      <c r="B41" s="2"/>
      <c r="C41" s="16"/>
      <c r="D41" s="73"/>
      <c r="E41" s="2"/>
      <c r="F41" s="2"/>
      <c r="G41" s="2"/>
      <c r="H41" s="2"/>
      <c r="I41" s="2"/>
      <c r="J41" s="2"/>
      <c r="K41" s="2"/>
      <c r="L41" s="2"/>
      <c r="M41" s="2"/>
    </row>
    <row r="42" spans="1:13" s="4" customFormat="1" ht="30" customHeight="1">
      <c r="A42" s="2"/>
      <c r="B42" s="2"/>
      <c r="C42" s="16"/>
      <c r="D42" s="73"/>
      <c r="E42" s="2"/>
      <c r="F42" s="2"/>
      <c r="G42" s="2"/>
      <c r="H42" s="2"/>
      <c r="I42" s="2"/>
      <c r="J42" s="2"/>
      <c r="K42" s="2"/>
      <c r="L42" s="2"/>
      <c r="M42" s="2"/>
    </row>
    <row r="43" spans="1:13" s="4" customFormat="1" ht="30" customHeight="1">
      <c r="A43" s="2"/>
      <c r="B43" s="2"/>
      <c r="C43" s="16"/>
      <c r="D43" s="73"/>
      <c r="E43" s="2"/>
      <c r="F43" s="2"/>
      <c r="G43" s="2"/>
      <c r="H43" s="2"/>
      <c r="I43" s="2"/>
      <c r="J43" s="2"/>
      <c r="K43" s="2"/>
      <c r="L43" s="2"/>
      <c r="M43" s="2"/>
    </row>
    <row r="44" spans="1:13" s="4" customFormat="1" ht="30" customHeight="1">
      <c r="A44" s="2"/>
      <c r="B44" s="2"/>
      <c r="C44" s="16"/>
      <c r="D44" s="73"/>
      <c r="E44" s="2"/>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2025-02-17T00:29:05Z</dcterms:modified>
</cp:coreProperties>
</file>