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AB6B4363-9C14-454F-8E1C-4EB942283458}" xr6:coauthVersionLast="47" xr6:coauthVersionMax="47" xr10:uidLastSave="{00000000-0000-0000-0000-000000000000}"/>
  <bookViews>
    <workbookView xWindow="0" yWindow="760" windowWidth="30240" windowHeight="17380"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Table'!$A$1:$E$42</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a="1"/>
  <c r="A4" i="11" s="1"/>
  <c r="E2" i="9" a="1"/>
  <c r="E2" i="9" s="1"/>
  <c r="I8" i="1"/>
  <c r="B26" i="7"/>
  <c r="B25" i="7"/>
  <c r="B24" i="7"/>
  <c r="B23" i="7"/>
  <c r="B22" i="7"/>
  <c r="B21" i="7"/>
  <c r="B20" i="7"/>
  <c r="B19" i="7"/>
  <c r="B18" i="7"/>
  <c r="B17" i="7"/>
  <c r="B16" i="7"/>
  <c r="B15" i="7"/>
  <c r="B14" i="7"/>
  <c r="B13" i="7"/>
  <c r="B12" i="7"/>
  <c r="B11" i="7"/>
  <c r="B10" i="7"/>
  <c r="B9" i="7"/>
  <c r="B8" i="7"/>
  <c r="B7"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<sst xmlns="http://schemas.openxmlformats.org/spreadsheetml/2006/main" count="699" uniqueCount="216">
  <si>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</si>
  <si>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</si>
  <si>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</si>
  <si>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</si>
  <si>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</si>
  <si>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</si>
  <si>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</si>
  <si>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</si>
  <si>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</si>
  <si>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</si>
  <si>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</si>
  <si>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</si>
  <si>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</si>
  <si>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</si>
  <si>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</si>
  <si>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</si>
  <si>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</si>
  <si>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</si>
  <si>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</si>
  <si>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</si>
  <si>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</si>
  <si>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</si>
  <si>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</si>
  <si>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</si>
  <si>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</si>
  <si>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</si>
  <si>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</si>
  <si>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</si>
  <si>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</si>
  <si>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</si>
  <si>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</si>
  <si>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</si>
  <si>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</si>
  <si>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</si>
  <si>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</si>
  <si>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</si>
  <si>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</si>
  <si>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</si>
  <si>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</si>
  <si>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</si>
  <si>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</si>
  <si>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</si>
  <si>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</si>
  <si>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</si>
  <si>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</si>
  <si>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</si>
  <si>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</si>
  <si>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</si>
  <si>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</si>
  <si>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</si>
  <si>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</si>
  <si>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</si>
  <si>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</si>
  <si>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</si>
  <si>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</si>
  <si>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</si>
  <si>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</si>
  <si>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</si>
  <si>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</si>
  <si>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</si>
  <si>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</si>
  <si>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</si>
  <si>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</si>
  <si>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</si>
  <si>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</si>
  <si>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</si>
  <si>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</si>
  <si>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</si>
  <si>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</si>
  <si>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Choose 5 dynamic drills and complete. Make sure to finish with leg swings.</t>
  </si>
  <si>
    <t>2x 100M strides.</t>
  </si>
  <si>
    <t>Areobic Running</t>
  </si>
  <si>
    <t>(in minutes)</t>
  </si>
  <si>
    <t>(in miles)</t>
  </si>
  <si>
    <t>Totals:</t>
  </si>
  <si>
    <t>Tuesday</t>
  </si>
  <si>
    <t>Choose 5 dynamic drills and complete.</t>
  </si>
  <si>
    <t>Wednesday</t>
  </si>
  <si>
    <t xml:space="preserve">Choose 5 dynamic drills and complete. </t>
  </si>
  <si>
    <t>Thursday</t>
  </si>
  <si>
    <t>4-6x 100M strides.</t>
  </si>
  <si>
    <t>Friday</t>
  </si>
  <si>
    <t>Long Run</t>
  </si>
  <si>
    <t>Do some gentle stretching after completing your 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</si>
  <si>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</si>
  <si>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</si>
  <si>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</si>
  <si>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</si>
  <si>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</si>
  <si>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</si>
  <si>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</si>
  <si>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</si>
  <si>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</si>
  <si>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</si>
  <si>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</si>
  <si>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</si>
  <si>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</si>
  <si>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</si>
  <si>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</si>
  <si>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</si>
  <si>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</si>
  <si>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</si>
  <si>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</si>
  <si>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</si>
  <si>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</si>
  <si>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</si>
  <si>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</si>
  <si>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</si>
  <si>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</si>
  <si>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</si>
  <si>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</si>
  <si>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</si>
  <si>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</si>
  <si>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</si>
  <si>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</si>
  <si>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</si>
  <si>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</si>
  <si>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</si>
  <si>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</si>
  <si>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</si>
  <si>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</si>
  <si>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</si>
  <si>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</si>
  <si>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</si>
  <si>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</si>
  <si>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</si>
  <si>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</si>
  <si>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</si>
  <si>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</si>
  <si>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</si>
  <si>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</si>
  <si>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</si>
  <si>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</si>
  <si>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</si>
  <si>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</si>
  <si>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</si>
  <si>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</si>
  <si>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</si>
  <si>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</si>
  <si>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</si>
  <si>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</si>
  <si>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</si>
  <si>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</si>
  <si>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</si>
  <si>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</si>
  <si>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</si>
  <si>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</si>
  <si>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</si>
  <si>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</si>
  <si>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</si>
  <si>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</si>
  <si>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</si>
  <si>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</si>
  <si>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</si>
  <si>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</si>
  <si>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</si>
  <si>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</si>
  <si>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</si>
  <si>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</si>
  <si>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</si>
  <si>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</si>
  <si>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</si>
  <si>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</si>
  <si>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</si>
  <si>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</si>
  <si>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</si>
  <si>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</si>
  <si>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</si>
  <si>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</si>
  <si>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</si>
  <si>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</si>
  <si>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</si>
  <si>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</si>
  <si>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</si>
  <si>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</si>
  <si>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</si>
  <si>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</si>
  <si>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Standard hurdle mobility drills.</t>
  </si>
  <si>
    <t>Location</t>
  </si>
  <si>
    <t>Push-Ups</t>
  </si>
  <si>
    <t>Pull-Ups</t>
  </si>
  <si>
    <t>Until failure</t>
  </si>
  <si>
    <t>Dips</t>
  </si>
  <si>
    <t>Pike Push-Ups</t>
  </si>
  <si>
    <t>800-1200M easy jog warm-up.</t>
  </si>
  <si>
    <t>5-15 minute easy cool down.</t>
  </si>
  <si>
    <t>Short warmup (800-1200M)</t>
  </si>
  <si>
    <t>Choose ~5 dynamic drills and complete with good form and intention. Finish with leg swings.</t>
  </si>
  <si>
    <t>2x 100M strides, in preparation for the flying 30s.</t>
  </si>
  <si>
    <t>Change into spikes in preparation for the flying 30s.</t>
  </si>
  <si>
    <t>4x 30M flys, run at 100% relaxed effort. Focus on sprint form, building maximum speed. Full recovery between each rep.</t>
  </si>
  <si>
    <t>Change into workout shoes for threshold reps.</t>
  </si>
  <si>
    <t>Change into spikes in preparation for 150s.</t>
  </si>
  <si>
    <t>4-6 150M @ goal 1600M pace. Walk/jog 250M recovery then wait until breathing has normalized before starting next rep.</t>
  </si>
  <si>
    <t>Change into trainers for cool down.</t>
  </si>
  <si>
    <t>Standard hurdle mobility work.</t>
  </si>
  <si>
    <t>4-8x 4 minutes @ threshold, 60-75 seconds standing recovery.</t>
  </si>
  <si>
    <t>30-60 minute easy run.</t>
  </si>
  <si>
    <t>4-6x 100M…this are like Tueller's 4x100s…take them nice and easy.</t>
  </si>
  <si>
    <t>Standard hudle mobility drills.</t>
  </si>
  <si>
    <t>Change into spikes for 30M flys.</t>
  </si>
  <si>
    <t>4x 30M flys, 100% relaxed effort, run with sprint form.</t>
  </si>
  <si>
    <t>Hill Sprints</t>
  </si>
  <si>
    <t>6x 10-15 second hill sprints. Full recovery. Hill should be a little steeper. No longer than 15 seconds. You should just be starting to feel tired when you stop. You want full engagement of your muscles. It's important that we get these in. These are the hill work we do now.</t>
  </si>
  <si>
    <t>Full recovery from the flys.</t>
  </si>
  <si>
    <t>1 mile at SubThreshold effort.</t>
  </si>
  <si>
    <t>Change into trainers in preparation for SubT.</t>
  </si>
  <si>
    <t>10-15 minute easy cool down. Maintain good form.</t>
  </si>
  <si>
    <t>3-5x Broken 600M. Run 400M @ 1600M pace. 1 minute standing rest, then 200M at 1600M+ pace. 6-8 minute recovery between sets.</t>
  </si>
  <si>
    <t xml:space="preserve">45-90 minute long run. Standard long run pace. </t>
  </si>
  <si>
    <t>4x100M strides…keep these gentle, gradually increasing pace. This is for flushing out the legs, not turnover work.  Think Tueller's 4x100s!</t>
  </si>
  <si>
    <t>30-60 minute standard easy run.</t>
  </si>
  <si>
    <t>Other than the shift in workout days, the first half of the training week will look pretty similar to what we've been doing. On Thursday, we will have our first lactate tolerance session. I'll send out paces before the workout, but we'll experiment with how people are feeling and adjust as necessary. Make sure you bring your spikes on the workout days!  Also, make sure you get in your strength training!!</t>
  </si>
  <si>
    <t>Hip Flexor Band Work</t>
  </si>
  <si>
    <t>10-20 reps each side</t>
  </si>
  <si>
    <t>https://www.youtube.com/watch?v=LeBOkz-3vtQ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</si>
</sst>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cellXfs>
  <cellStyles count="3">
    <cellStyle name="Hyperlink" xfId="2" builtinId="8"/>
    <cellStyle name="Normal" xfId="0" builtinId="0"/>
    <cellStyle name="Percent" xfId="1" builtinId="5"/>
  </cellStyles>
  <dxfs count="1118">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1" totalsRowShown="0" headerRowDxfId="1117" headerRowBorderDxfId="1116" tableBorderDxfId="1115" totalsRowBorderDxfId="1114">
  <autoFilter ref="A1:C31" xr:uid="{FF795C1F-72BF-8048-AF19-4BC109754AA4}"/>
  <tableColumns count="3">
    <tableColumn id="1" xr3:uid="{797539E5-C30E-C347-9E62-77070737E32D}" name="Category of Training Stimulus" dataDxfId="1113"/>
    <tableColumn id="2" xr3:uid="{CF079A49-3B75-8945-8D85-33DE537F2E7B}" name="Training Component" dataDxfId="1112"/>
    <tableColumn id="3" xr3:uid="{14E078D6-C756-AB4E-A5B8-549BDA9140C1}" name="Description" dataDxfId="1111"/>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2" totalsRowShown="0" headerRowDxfId="1110" dataDxfId="1109">
  <autoFilter ref="A1:E42" xr:uid="{A95B5FF0-C24C-AB40-8E37-E36D1F969343}"/>
  <tableColumns count="5">
    <tableColumn id="1" xr3:uid="{E9AB92C4-8B67-3D4B-A8C6-B78C1D4BEEE7}" name="Exercise" dataDxfId="1108"/>
    <tableColumn id="2" xr3:uid="{1A4AEDDF-E23C-3946-AE38-5C5CF7F9C0CE}" name="Routine" dataDxfId="1107"/>
    <tableColumn id="3" xr3:uid="{DF3B3656-9776-1E47-9C7A-2D19CBE10A25}" name="Sets" dataDxfId="1106"/>
    <tableColumn id="4" xr3:uid="{215C473A-1C36-7140-8726-D4CA58A8BDDE}" name="Reps" dataDxfId="1105"/>
    <tableColumn id="5" xr3:uid="{CE501D42-6216-6142-8A4D-7407FA435D0A}" name="Description" dataDxfId="110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tabSelected="1" zoomScale="140" zoomScaleNormal="140" workbookViewId="0">
      <selection activeCell="J3" sqref="J3"/>
    </sheetView>
  </sheetViews>
  <sheetFormatPr baseColWidth="10" defaultRowHeight="17"/>
  <cols>
    <col min="1" max="1" width="25.1640625" style="2" customWidth="1"/>
    <col min="2" max="3" width="18.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88</v>
      </c>
      <c r="B1" s="52" t="s">
        <v>161</v>
      </c>
      <c r="C1" s="52" t="s">
        <v>90</v>
      </c>
      <c r="D1" s="15"/>
      <c r="E1" s="76"/>
      <c r="H1" s="79" t="s">
        <v>95</v>
      </c>
      <c r="I1" s="79"/>
      <c r="J1" s="79"/>
      <c r="K1" s="79"/>
    </row>
    <row r="2" spans="1:16" ht="22" customHeight="1">
      <c r="A2" s="6" t="s">
        <v>86</v>
      </c>
      <c r="B2" s="49" t="str">
        <f>O2&amp;" hours "&amp;(O3-O2)*(60)&amp; " minutes"</f>
        <v>3 hours 14 minutes</v>
      </c>
      <c r="C2" s="49" t="str">
        <f>P2&amp;" hours "&amp;ROUND((P3-P2)*(60),2)&amp; " minutes"</f>
        <v>6 hours 13 minutes</v>
      </c>
      <c r="H2" s="51" t="s">
        <v>96</v>
      </c>
      <c r="I2" s="51" t="s">
        <v>97</v>
      </c>
      <c r="J2" s="51" t="s">
        <v>92</v>
      </c>
      <c r="K2" s="51" t="s">
        <v>91</v>
      </c>
      <c r="O2" s="50">
        <f>INT((Monday!$M$10+Tuesday!$M$10+Wednesday!$M$10+Thursday!$M$10+Friday!$M$10+Saturday!$M$10)/(60))</f>
        <v>3</v>
      </c>
      <c r="P2" s="50">
        <f>INT((Monday!$N$10+Tuesday!$N$10+Wednesday!$N$10+Thursday!$N$10+Friday!$N$10+Saturday!$N$10)/(60))</f>
        <v>6</v>
      </c>
    </row>
    <row r="3" spans="1:16" ht="22" customHeight="1">
      <c r="A3" s="6" t="s">
        <v>87</v>
      </c>
      <c r="B3" s="23" t="str">
        <f>(Monday!Q10+Tuesday!Q10+Wednesday!Q10+Thursday!Q10+Friday!Q10+Saturday!Q10)&amp;" miles"</f>
        <v>24.65 miles</v>
      </c>
      <c r="C3" s="23" t="str">
        <f>(Monday!$R$10+Tuesday!$R$10+Wednesday!$R$10+Thursday!$R$10+Friday!$R$10+Saturday!$R$10)&amp;" miles"</f>
        <v>55.65 miles</v>
      </c>
      <c r="H3" s="6" t="s">
        <v>59</v>
      </c>
      <c r="I3" s="6" t="s">
        <v>101</v>
      </c>
      <c r="J3" s="6" t="s">
        <v>8</v>
      </c>
      <c r="O3" s="2">
        <f>(Monday!$M$10+Tuesday!$M$10+Wednesday!$M$10+Thursday!$M$10+Friday!$M$10+Saturday!$M$10)/(60)</f>
        <v>3.2333333333333334</v>
      </c>
      <c r="P3" s="2">
        <f>(Monday!$N$10+Tuesday!$N$10+Wednesday!$N$10+Thursday!$N$10+Friday!$N$10+Saturday!$N$10)/(60)</f>
        <v>6.2166666666666668</v>
      </c>
    </row>
    <row r="4" spans="1:16" ht="22" customHeight="1">
      <c r="H4" s="6" t="s">
        <v>75</v>
      </c>
      <c r="I4" s="6" t="s">
        <v>103</v>
      </c>
      <c r="J4" s="6"/>
      <c r="K4" s="6" t="s">
        <v>4</v>
      </c>
    </row>
    <row r="5" spans="1:16" ht="22" customHeight="1">
      <c r="A5" s="51" t="s">
        <v>93</v>
      </c>
      <c r="B5" s="52" t="s">
        <v>89</v>
      </c>
      <c r="C5" s="52" t="s">
        <v>90</v>
      </c>
      <c r="D5" s="53" t="s">
        <v>158</v>
      </c>
      <c r="E5" s="52" t="s">
        <v>159</v>
      </c>
      <c r="F5" s="53" t="s">
        <v>160</v>
      </c>
      <c r="H5" s="6" t="s">
        <v>77</v>
      </c>
      <c r="I5" s="6" t="s">
        <v>99</v>
      </c>
      <c r="J5" s="6"/>
      <c r="K5" s="6" t="s">
        <v>5</v>
      </c>
    </row>
    <row r="6" spans="1:16" ht="22" customHeight="1">
      <c r="A6" s="54" t="s">
        <v>17</v>
      </c>
      <c r="B6" s="55">
        <f>TIME(,(Monday!M4+Tuesday!M4+Wednesday!M4+Thursday!M4+Friday!M4+Saturday!M4),)</f>
        <v>0.10277777777777777</v>
      </c>
      <c r="C6" s="55">
        <f>TIME(,(Monday!N4+Tuesday!N4+Wednesday!N4+Thursday!N4+Friday!N4+Saturday!N4),)</f>
        <v>0.21111111111111111</v>
      </c>
      <c r="D6" s="56">
        <f t="shared" ref="D6:D11" si="0">(B6/SUM($B$6:$B$11))</f>
        <v>0.76288659793814428</v>
      </c>
      <c r="E6" s="56">
        <f>(C6/SUM($C$6:$C$11))</f>
        <v>0.81501340482573714</v>
      </c>
      <c r="F6" s="56">
        <f>(D6+E6)/2</f>
        <v>0.78895000138194071</v>
      </c>
      <c r="H6" s="6" t="s">
        <v>79</v>
      </c>
      <c r="I6" s="6" t="s">
        <v>101</v>
      </c>
      <c r="J6" s="6" t="s">
        <v>7</v>
      </c>
      <c r="K6" s="6"/>
    </row>
    <row r="7" spans="1:16" ht="22" customHeight="1">
      <c r="A7" s="29" t="s">
        <v>34</v>
      </c>
      <c r="B7" s="57">
        <f>TIME(,(Monday!M5+Tuesday!M5+Wednesday!M5+Thursday!M5+Friday!M5+Saturday!M5),)</f>
        <v>9.0277777777777769E-3</v>
      </c>
      <c r="C7" s="57">
        <f>TIME(,(Monday!N5+Tuesday!N5+Wednesday!N5+Thursday!N5+Friday!N5+Saturday!N5),)</f>
        <v>9.7222222222222224E-3</v>
      </c>
      <c r="D7" s="58">
        <f t="shared" si="0"/>
        <v>6.7010309278350513E-2</v>
      </c>
      <c r="E7" s="58">
        <f t="shared" ref="E7:E11" si="1">(C7/SUM($C$6:$C$11))</f>
        <v>3.7533512064343161E-2</v>
      </c>
      <c r="F7" s="58">
        <f t="shared" ref="F7:F11" si="2">(D7+E7)/2</f>
        <v>5.2271910671346837E-2</v>
      </c>
      <c r="H7" s="6" t="s">
        <v>81</v>
      </c>
      <c r="I7" s="6" t="s">
        <v>99</v>
      </c>
      <c r="J7" s="6"/>
      <c r="K7" s="2" t="s">
        <v>6</v>
      </c>
    </row>
    <row r="8" spans="1:16" ht="22" customHeight="1">
      <c r="A8" s="59" t="s">
        <v>22</v>
      </c>
      <c r="B8" s="60">
        <f>TIME(,(Monday!M6+Tuesday!M6+Wednesday!M6+Thursday!M6+Friday!M6+Saturday!M6),)</f>
        <v>1.5277777777777777E-2</v>
      </c>
      <c r="C8" s="60">
        <f>TIME(,(Monday!N6+Tuesday!N6+Wednesday!N6+Thursday!N6+Friday!N6+Saturday!N6),)</f>
        <v>2.7777777777777776E-2</v>
      </c>
      <c r="D8" s="61">
        <f t="shared" si="0"/>
        <v>0.1134020618556701</v>
      </c>
      <c r="E8" s="61">
        <f t="shared" si="1"/>
        <v>0.10723860589812331</v>
      </c>
      <c r="F8" s="61">
        <f t="shared" si="2"/>
        <v>0.11032033387689671</v>
      </c>
      <c r="H8" s="6" t="s">
        <v>85</v>
      </c>
      <c r="I8" s="6" t="str">
        <f>Saturday!C1</f>
        <v>Long Run</v>
      </c>
      <c r="J8" s="6" t="s">
        <v>135</v>
      </c>
      <c r="K8" s="6"/>
    </row>
    <row r="9" spans="1:16" ht="22" customHeight="1">
      <c r="A9" s="62" t="s">
        <v>1</v>
      </c>
      <c r="B9" s="63">
        <f>TIME(,(Monday!M7+Tuesday!M7+Wednesday!M7+Thursday!M7+Friday!M7+Saturday!M7),)</f>
        <v>0</v>
      </c>
      <c r="C9" s="63">
        <f>TIME(,(Monday!N7+Tuesday!N7+Wednesday!N7+Thursday!N7+Friday!N7+Saturday!N7),)</f>
        <v>0</v>
      </c>
      <c r="D9" s="64">
        <f t="shared" si="0"/>
        <v>0</v>
      </c>
      <c r="E9" s="64">
        <f t="shared" si="1"/>
        <v>0</v>
      </c>
      <c r="F9" s="64">
        <f t="shared" si="2"/>
        <v>0</v>
      </c>
      <c r="H9" s="6" t="s">
        <v>98</v>
      </c>
      <c r="I9" s="6" t="s">
        <v>104</v>
      </c>
      <c r="J9" s="6"/>
      <c r="K9" s="6"/>
    </row>
    <row r="10" spans="1:16" ht="22" customHeight="1">
      <c r="A10" s="66" t="s">
        <v>2</v>
      </c>
      <c r="B10" s="67">
        <f>TIME(,(Monday!M8+Tuesday!M8+Wednesday!M8+Thursday!M8+Friday!M8+Saturday!M8),)</f>
        <v>5.5555555555555558E-3</v>
      </c>
      <c r="C10" s="67">
        <f>TIME(,(Monday!N8+Tuesday!N8+Wednesday!N8+Thursday!N8+Friday!N8+Saturday!N8),)</f>
        <v>8.3333333333333332E-3</v>
      </c>
      <c r="D10" s="68">
        <f t="shared" si="0"/>
        <v>4.1237113402061862E-2</v>
      </c>
      <c r="E10" s="68">
        <f t="shared" si="1"/>
        <v>3.2171581769436991E-2</v>
      </c>
      <c r="F10" s="68">
        <f t="shared" si="2"/>
        <v>3.6704347585749426E-2</v>
      </c>
    </row>
    <row r="11" spans="1:16" ht="22" customHeight="1">
      <c r="A11" s="69" t="s">
        <v>3</v>
      </c>
      <c r="B11" s="71">
        <f>TIME(,(Monday!M9+Tuesday!M9+Wednesday!M9+Thursday!M9+Friday!M9+Saturday!M9),)</f>
        <v>2.0833333333333333E-3</v>
      </c>
      <c r="C11" s="71">
        <f>TIME(,(Monday!N9+Tuesday!N9+Wednesday!N9+Thursday!N9+Friday!N9+Saturday!N9),)</f>
        <v>2.0833333333333333E-3</v>
      </c>
      <c r="D11" s="70">
        <f t="shared" si="0"/>
        <v>1.5463917525773196E-2</v>
      </c>
      <c r="E11" s="70">
        <f t="shared" si="1"/>
        <v>8.0428954423592477E-3</v>
      </c>
      <c r="F11" s="70">
        <f t="shared" si="2"/>
        <v>1.1753406484066222E-2</v>
      </c>
      <c r="H11" s="81" t="s">
        <v>162</v>
      </c>
      <c r="I11" s="81"/>
      <c r="J11" s="81"/>
      <c r="K11" s="81"/>
    </row>
    <row r="12" spans="1:16" ht="22" customHeight="1">
      <c r="H12" s="80" t="s">
        <v>212</v>
      </c>
      <c r="I12" s="80"/>
      <c r="J12" s="80"/>
      <c r="K12" s="80"/>
    </row>
    <row r="13" spans="1:16" ht="22" customHeight="1">
      <c r="A13" s="51" t="s">
        <v>94</v>
      </c>
      <c r="B13" s="52" t="s">
        <v>89</v>
      </c>
      <c r="C13" s="52" t="s">
        <v>90</v>
      </c>
      <c r="D13" s="53" t="s">
        <v>158</v>
      </c>
      <c r="E13" s="52" t="s">
        <v>159</v>
      </c>
      <c r="F13" s="53" t="s">
        <v>160</v>
      </c>
      <c r="H13" s="80"/>
      <c r="I13" s="80"/>
      <c r="J13" s="80"/>
      <c r="K13" s="80"/>
    </row>
    <row r="14" spans="1:16" ht="22" customHeight="1">
      <c r="A14" s="54" t="s">
        <v>17</v>
      </c>
      <c r="B14" s="28">
        <f>Monday!Q4+Tuesday!Q4+Wednesday!Q4+Thursday!Q4+Friday!Q4+Saturday!Q4</f>
        <v>17.600000000000001</v>
      </c>
      <c r="C14" s="28">
        <f>Monday!R4+Tuesday!R4+Wednesday!R4+Thursday!R4+Friday!R4+Saturday!R4</f>
        <v>44.2</v>
      </c>
      <c r="D14" s="56">
        <f>B14/(SUM($B$14:$B$19))</f>
        <v>0.71399594320486826</v>
      </c>
      <c r="E14" s="56">
        <f>C14/(SUM($C$14:$C$19))</f>
        <v>0.79424977538185082</v>
      </c>
      <c r="F14" s="56">
        <f t="shared" ref="F14:F19" si="3">(D14+E14)/2</f>
        <v>0.75412285929335954</v>
      </c>
      <c r="H14" s="80"/>
      <c r="I14" s="80"/>
      <c r="J14" s="80"/>
      <c r="K14" s="80"/>
    </row>
    <row r="15" spans="1:16" ht="22" customHeight="1">
      <c r="A15" s="29" t="s">
        <v>34</v>
      </c>
      <c r="B15" s="30">
        <f>Monday!Q5+Tuesday!Q5+Wednesday!Q5+Thursday!Q5+Friday!Q5+Saturday!Q5</f>
        <v>1.9499999999999997</v>
      </c>
      <c r="C15" s="30">
        <f>Monday!R5+Tuesday!R5+Wednesday!R5+Thursday!R5+Friday!R5+Saturday!R5</f>
        <v>2.35</v>
      </c>
      <c r="D15" s="58">
        <f t="shared" ref="D15:D19" si="4">B15/(SUM($B$14:$B$19))</f>
        <v>7.9107505070993914E-2</v>
      </c>
      <c r="E15" s="58">
        <f t="shared" ref="E15:E19" si="5">C15/(SUM($C$14:$C$19))</f>
        <v>4.2228212039532795E-2</v>
      </c>
      <c r="F15" s="58">
        <f t="shared" si="3"/>
        <v>6.0667858555263354E-2</v>
      </c>
      <c r="H15" s="80"/>
      <c r="I15" s="80"/>
      <c r="J15" s="80"/>
      <c r="K15" s="80"/>
    </row>
    <row r="16" spans="1:16" ht="22" customHeight="1">
      <c r="A16" s="59" t="s">
        <v>22</v>
      </c>
      <c r="B16" s="32">
        <f>Monday!Q6+Tuesday!Q6+Wednesday!Q6+Thursday!Q6+Friday!Q6+Saturday!Q6</f>
        <v>3.4</v>
      </c>
      <c r="C16" s="32">
        <f>Monday!R6+Tuesday!R6+Wednesday!R6+Thursday!R6+Friday!R6+Saturday!R6</f>
        <v>6.5</v>
      </c>
      <c r="D16" s="61">
        <f t="shared" si="4"/>
        <v>0.13793103448275862</v>
      </c>
      <c r="E16" s="61">
        <f t="shared" si="5"/>
        <v>0.11680143755615452</v>
      </c>
      <c r="F16" s="61">
        <f t="shared" si="3"/>
        <v>0.12736623601945657</v>
      </c>
      <c r="H16" s="80"/>
      <c r="I16" s="80"/>
      <c r="J16" s="80"/>
      <c r="K16" s="80"/>
    </row>
    <row r="17" spans="1:11" ht="22" customHeight="1">
      <c r="A17" s="62" t="s">
        <v>1</v>
      </c>
      <c r="B17" s="65">
        <f>Monday!Q7+Tuesday!Q7+Wednesday!Q7+Thursday!Q7+Friday!Q7+Saturday!Q7</f>
        <v>0</v>
      </c>
      <c r="C17" s="65">
        <f>Monday!R7+Tuesday!R7+Wednesday!R7+Thursday!R7+Friday!R7+Saturday!R7</f>
        <v>0</v>
      </c>
      <c r="D17" s="64">
        <f t="shared" si="4"/>
        <v>0</v>
      </c>
      <c r="E17" s="64">
        <f t="shared" si="5"/>
        <v>0</v>
      </c>
      <c r="F17" s="64">
        <f t="shared" si="3"/>
        <v>0</v>
      </c>
      <c r="H17" s="80"/>
      <c r="I17" s="80"/>
      <c r="J17" s="80"/>
      <c r="K17" s="80"/>
    </row>
    <row r="18" spans="1:11" ht="22" customHeight="1">
      <c r="A18" s="66" t="s">
        <v>2</v>
      </c>
      <c r="B18" s="34">
        <f>Monday!Q8+Tuesday!Q8+Wednesday!Q8+Thursday!Q8+Friday!Q8+Saturday!Q8</f>
        <v>1.5</v>
      </c>
      <c r="C18" s="34">
        <f>Monday!R8+Tuesday!R8+Wednesday!R8+Thursday!R8+Friday!R8+Saturday!R8</f>
        <v>2.4</v>
      </c>
      <c r="D18" s="68">
        <f t="shared" si="4"/>
        <v>6.0851926977687633E-2</v>
      </c>
      <c r="E18" s="68">
        <f t="shared" si="5"/>
        <v>4.3126684636118594E-2</v>
      </c>
      <c r="F18" s="68">
        <f t="shared" si="3"/>
        <v>5.1989305806903113E-2</v>
      </c>
      <c r="H18" s="80"/>
      <c r="I18" s="80"/>
      <c r="J18" s="80"/>
      <c r="K18" s="80"/>
    </row>
    <row r="19" spans="1:11" ht="22" customHeight="1">
      <c r="A19" s="69" t="s">
        <v>3</v>
      </c>
      <c r="B19" s="38">
        <f>Monday!Q9+Tuesday!Q9+Wednesday!Q9+Thursday!Q9+Friday!Q9+Saturday!Q9</f>
        <v>0.2</v>
      </c>
      <c r="C19" s="38">
        <f>Monday!R9+Tuesday!R9+Wednesday!R9+Thursday!R9+Friday!R9+Saturday!R9</f>
        <v>0.2</v>
      </c>
      <c r="D19" s="70">
        <f t="shared" si="4"/>
        <v>8.1135902636916852E-3</v>
      </c>
      <c r="E19" s="70">
        <f t="shared" si="5"/>
        <v>3.5938903863432163E-3</v>
      </c>
      <c r="F19" s="70">
        <f t="shared" si="3"/>
        <v>5.853740325017451E-3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topLeftCell="D9" zoomScale="140" zoomScaleNormal="140" workbookViewId="0">
      <selection activeCell="J10" sqref="J10"/>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45712</v>
      </c>
      <c r="C1" s="20" t="s">
        <v>99</v>
      </c>
      <c r="D1" s="20" t="s">
        <v>61</v>
      </c>
      <c r="E1" s="20" t="s">
        <v>60</v>
      </c>
      <c r="F1" s="20"/>
      <c r="G1" s="90" t="s">
        <v>53</v>
      </c>
      <c r="H1" s="91"/>
      <c r="I1" s="91"/>
      <c r="J1" s="91"/>
      <c r="L1" s="25" t="s">
        <v>39</v>
      </c>
      <c r="M1" s="89" t="s">
        <v>11</v>
      </c>
      <c r="N1" s="89"/>
      <c r="O1" s="89"/>
      <c r="P1" s="89"/>
      <c r="Q1" s="89" t="s">
        <v>12</v>
      </c>
      <c r="R1" s="89"/>
      <c r="S1" s="89"/>
      <c r="T1" s="89"/>
    </row>
    <row r="2" spans="1:20" s="2" customFormat="1" ht="25" customHeight="1">
      <c r="A2" s="82" t="s">
        <v>16</v>
      </c>
      <c r="B2" s="82" t="s">
        <v>40</v>
      </c>
      <c r="C2" s="82" t="s">
        <v>54</v>
      </c>
      <c r="D2" s="82" t="s">
        <v>62</v>
      </c>
      <c r="E2" s="84" t="s">
        <v>13</v>
      </c>
      <c r="F2" s="84"/>
      <c r="G2" s="89" t="s">
        <v>47</v>
      </c>
      <c r="H2" s="89"/>
      <c r="I2" s="89" t="s">
        <v>46</v>
      </c>
      <c r="J2" s="89"/>
      <c r="K2" s="83"/>
      <c r="L2" s="26"/>
      <c r="M2" s="88" t="s">
        <v>72</v>
      </c>
      <c r="N2" s="88"/>
      <c r="O2" s="88"/>
      <c r="P2" s="88"/>
      <c r="Q2" s="87" t="s">
        <v>73</v>
      </c>
      <c r="R2" s="87"/>
      <c r="S2" s="87"/>
      <c r="T2" s="87"/>
    </row>
    <row r="3" spans="1:20" s="2" customFormat="1" ht="25" customHeight="1">
      <c r="A3" s="82"/>
      <c r="B3" s="82"/>
      <c r="C3" s="82"/>
      <c r="D3" s="82"/>
      <c r="E3" s="84"/>
      <c r="F3" s="84"/>
      <c r="G3" s="22" t="s">
        <v>44</v>
      </c>
      <c r="H3" s="22" t="s">
        <v>45</v>
      </c>
      <c r="I3" s="22" t="s">
        <v>44</v>
      </c>
      <c r="J3" s="22" t="s">
        <v>45</v>
      </c>
      <c r="K3" s="83"/>
      <c r="L3" s="26"/>
      <c r="M3" s="23"/>
      <c r="N3" s="23"/>
      <c r="O3" s="23"/>
      <c r="P3" s="23"/>
      <c r="Q3" s="23"/>
      <c r="R3" s="6"/>
      <c r="S3" s="23"/>
      <c r="T3" s="23"/>
    </row>
    <row r="4" spans="1:20" s="2" customFormat="1" ht="50" customHeight="1">
      <c r="A4" s="6" t="s">
        <v>10</v>
      </c>
      <c r="B4" s="6" t="str">
        <f>_xlfn.XLOOKUP(A4,TrainingTable[Training Component],TrainingTable[Category of Training Stimulus],"")</f>
        <v>Aerobic Running</v>
      </c>
      <c r="C4" s="6" t="s">
        <v>55</v>
      </c>
      <c r="D4" s="6" t="s">
        <v>67</v>
      </c>
      <c r="E4" s="85" t="s">
        <v>186</v>
      </c>
      <c r="F4" s="85"/>
      <c r="G4" s="23">
        <v>5</v>
      </c>
      <c r="H4" s="23">
        <v>8</v>
      </c>
      <c r="I4" s="23">
        <v>0.5</v>
      </c>
      <c r="J4" s="23">
        <v>0.75</v>
      </c>
      <c r="L4" s="27" t="s">
        <v>71</v>
      </c>
      <c r="M4" s="28">
        <f>SUMIF(Monday_Training_Category,"Aerobic Running",Monday_Training_Time_Lower)</f>
        <v>10</v>
      </c>
      <c r="N4" s="28">
        <f>SUMIF(Monday_Training_Category,"Aerobic Running",Monday_Training_Time_Upper)</f>
        <v>23</v>
      </c>
      <c r="O4" s="39">
        <f t="shared" ref="O4:O9" si="0">M4/$M$10</f>
        <v>0.2857142857142857</v>
      </c>
      <c r="P4" s="39">
        <f t="shared" ref="P4:P10" si="1">N4/$N$10</f>
        <v>0.359375</v>
      </c>
      <c r="Q4" s="28">
        <f>SUMIF(Monday_Training_Category,"Aerobic Running",Monday_Training_Distance_Lower)</f>
        <v>1.1000000000000001</v>
      </c>
      <c r="R4" s="28">
        <f>SUMIF(Monday_Training_Category,"Aerobic Running",Monday_Training_Distance_Upper)</f>
        <v>2.75</v>
      </c>
      <c r="S4" s="39">
        <f>Q4/$Q$10</f>
        <v>0.26190476190476192</v>
      </c>
      <c r="T4" s="39">
        <f>R4/$R$10</f>
        <v>0.30386740331491718</v>
      </c>
    </row>
    <row r="5" spans="1:20" s="2" customFormat="1" ht="50" customHeight="1">
      <c r="A5" s="6" t="s">
        <v>19</v>
      </c>
      <c r="B5" s="6" t="str">
        <f>_xlfn.XLOOKUP(A5,TrainingTable[Training Component],TrainingTable[Category of Training Stimulus],"")</f>
        <v>Stretching and Mobility</v>
      </c>
      <c r="C5" s="6" t="s">
        <v>55</v>
      </c>
      <c r="D5" s="6" t="s">
        <v>67</v>
      </c>
      <c r="E5" s="85" t="s">
        <v>187</v>
      </c>
      <c r="F5" s="85"/>
      <c r="G5" s="23">
        <v>5</v>
      </c>
      <c r="H5" s="23">
        <v>8</v>
      </c>
      <c r="I5" s="23">
        <v>0.2</v>
      </c>
      <c r="J5" s="23">
        <v>0.2</v>
      </c>
      <c r="L5" s="29" t="s">
        <v>34</v>
      </c>
      <c r="M5" s="30">
        <f>SUMIF(Monday_Training_Category,"Turnover and Pace Work",Monday_Training_Time_Lower)</f>
        <v>5</v>
      </c>
      <c r="N5" s="30">
        <f>SUMIF(Monday_Training_Category,"Turnover and Pace Work",Monday_Training_Time_Upper)</f>
        <v>5</v>
      </c>
      <c r="O5" s="40">
        <f t="shared" si="0"/>
        <v>0.14285714285714285</v>
      </c>
      <c r="P5" s="40">
        <f t="shared" si="1"/>
        <v>7.8125E-2</v>
      </c>
      <c r="Q5" s="30">
        <f>SUMIF(Monday_Training_Category,"Turnover and Pace Work",Monday_Training_Distance_Lower)</f>
        <v>0.2</v>
      </c>
      <c r="R5" s="30">
        <f>SUMIF(Monday_Training_Category,"Turnover and Pace Work",Monday_Training_Distance_Upper)</f>
        <v>0.2</v>
      </c>
      <c r="S5" s="40">
        <f t="shared" ref="S5:S10" si="2">Q5/$Q$10</f>
        <v>4.7619047619047616E-2</v>
      </c>
      <c r="T5" s="40">
        <f t="shared" ref="T5:T10" si="3">R5/$R$10</f>
        <v>2.2099447513812157E-2</v>
      </c>
    </row>
    <row r="6" spans="1:20" s="2" customFormat="1" ht="50" customHeight="1">
      <c r="A6" s="6" t="s">
        <v>43</v>
      </c>
      <c r="B6" s="6" t="str">
        <f>_xlfn.XLOOKUP(A6,TrainingTable[Training Component],TrainingTable[Category of Training Stimulus],"")</f>
        <v>Turnover and Pace Work</v>
      </c>
      <c r="C6" s="6" t="s">
        <v>55</v>
      </c>
      <c r="D6" s="6" t="s">
        <v>64</v>
      </c>
      <c r="E6" s="85" t="s">
        <v>188</v>
      </c>
      <c r="F6" s="85"/>
      <c r="G6" s="23">
        <v>5</v>
      </c>
      <c r="H6" s="23">
        <v>5</v>
      </c>
      <c r="I6" s="23">
        <v>0.2</v>
      </c>
      <c r="J6" s="23">
        <v>0.2</v>
      </c>
      <c r="L6" s="31" t="s">
        <v>22</v>
      </c>
      <c r="M6" s="32">
        <f>SUMIF(Monday_Training_Category,"Threshold",Monday_Training_Time_Lower)</f>
        <v>16</v>
      </c>
      <c r="N6" s="32">
        <f>SUMIF(Monday_Training_Category,"Threshold",Monday_Training_Time_Upper)</f>
        <v>32</v>
      </c>
      <c r="O6" s="41">
        <f t="shared" si="0"/>
        <v>0.45714285714285713</v>
      </c>
      <c r="P6" s="41">
        <f t="shared" si="1"/>
        <v>0.5</v>
      </c>
      <c r="Q6" s="32">
        <f>SUMIF(Monday_Training_Category,"Threshold",Monday_Training_Distance_Lower)</f>
        <v>2.4</v>
      </c>
      <c r="R6" s="32">
        <f>SUMIF(Monday_Training_Category,"Threshold",Monday_Training_Distance_Upper)</f>
        <v>5.5</v>
      </c>
      <c r="S6" s="41">
        <f t="shared" si="2"/>
        <v>0.5714285714285714</v>
      </c>
      <c r="T6" s="41">
        <f t="shared" si="3"/>
        <v>0.60773480662983437</v>
      </c>
    </row>
    <row r="7" spans="1:20" s="2" customFormat="1" ht="50" customHeight="1">
      <c r="A7" s="6" t="s">
        <v>49</v>
      </c>
      <c r="B7" s="6" t="str">
        <f>_xlfn.XLOOKUP(A7,TrainingTable[Training Component],TrainingTable[Category of Training Stimulus],"")</f>
        <v>Recovery</v>
      </c>
      <c r="C7" s="6" t="s">
        <v>57</v>
      </c>
      <c r="D7" s="6" t="s">
        <v>57</v>
      </c>
      <c r="E7" s="85" t="s">
        <v>189</v>
      </c>
      <c r="F7" s="85"/>
      <c r="G7" s="23">
        <v>5</v>
      </c>
      <c r="H7" s="23">
        <v>5</v>
      </c>
      <c r="I7" s="23">
        <v>0</v>
      </c>
      <c r="J7" s="23">
        <v>0</v>
      </c>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t="s">
        <v>31</v>
      </c>
      <c r="B8" s="6" t="str">
        <f>_xlfn.XLOOKUP(A8,TrainingTable[Training Component],TrainingTable[Category of Training Stimulus],"")</f>
        <v>Speed Development</v>
      </c>
      <c r="C8" s="6" t="s">
        <v>56</v>
      </c>
      <c r="D8" s="6" t="s">
        <v>64</v>
      </c>
      <c r="E8" s="85" t="s">
        <v>190</v>
      </c>
      <c r="F8" s="85"/>
      <c r="G8" s="23">
        <v>2</v>
      </c>
      <c r="H8" s="23">
        <v>2</v>
      </c>
      <c r="I8" s="23">
        <v>0.1</v>
      </c>
      <c r="J8" s="23">
        <v>0.1</v>
      </c>
      <c r="L8" s="33" t="s">
        <v>2</v>
      </c>
      <c r="M8" s="34">
        <f>SUMIF(Monday_Training_Category,"Lactate Tolerance",Monday_Training_Time_Lower)</f>
        <v>2</v>
      </c>
      <c r="N8" s="34">
        <f>SUMIF(Monday_Training_Category,"Lactate Tolerance",Monday_Training_Time_Upper)</f>
        <v>2</v>
      </c>
      <c r="O8" s="43">
        <f t="shared" si="0"/>
        <v>5.7142857142857141E-2</v>
      </c>
      <c r="P8" s="43">
        <f t="shared" si="1"/>
        <v>3.125E-2</v>
      </c>
      <c r="Q8" s="34">
        <f>SUMIF(Monday_Training_Category,"Lactate Tolerance",Monday_Training_Distance_Lower)</f>
        <v>0.4</v>
      </c>
      <c r="R8" s="34">
        <f>SUMIF(Monday_Training_Category,"Lactate Tolerance",Monday_Training_Distance_Upper)</f>
        <v>0.5</v>
      </c>
      <c r="S8" s="43">
        <f t="shared" si="2"/>
        <v>9.5238095238095233E-2</v>
      </c>
      <c r="T8" s="43">
        <f t="shared" si="3"/>
        <v>5.5248618784530391E-2</v>
      </c>
    </row>
    <row r="9" spans="1:20" s="2" customFormat="1" ht="50" customHeight="1">
      <c r="A9" s="6" t="s">
        <v>49</v>
      </c>
      <c r="B9" s="6" t="str">
        <f>_xlfn.XLOOKUP(A9,TrainingTable[Training Component],TrainingTable[Category of Training Stimulus],"")</f>
        <v>Recovery</v>
      </c>
      <c r="C9" s="6" t="s">
        <v>57</v>
      </c>
      <c r="D9" s="6" t="s">
        <v>57</v>
      </c>
      <c r="E9" s="85" t="s">
        <v>191</v>
      </c>
      <c r="F9" s="85"/>
      <c r="G9" s="23">
        <v>5</v>
      </c>
      <c r="H9" s="23">
        <v>5</v>
      </c>
      <c r="I9" s="23">
        <v>0</v>
      </c>
      <c r="J9" s="23">
        <v>0</v>
      </c>
      <c r="L9" s="37" t="s">
        <v>3</v>
      </c>
      <c r="M9" s="38">
        <f>SUMIF(Monday_Training_Category,"Speed Development",Monday_Training_Time_Lower)</f>
        <v>2</v>
      </c>
      <c r="N9" s="38">
        <f>SUMIF(Monday_Training_Category,"Speed Development",Monday_Training_Time_Upper)</f>
        <v>2</v>
      </c>
      <c r="O9" s="44">
        <f t="shared" si="0"/>
        <v>5.7142857142857141E-2</v>
      </c>
      <c r="P9" s="44">
        <f t="shared" si="1"/>
        <v>3.125E-2</v>
      </c>
      <c r="Q9" s="38">
        <f>SUMIF(Monday_Training_Category,"Speed Development",Monday_Training_Distance_Lower)</f>
        <v>0.1</v>
      </c>
      <c r="R9" s="38">
        <f>SUMIF(Monday_Training_Category,"Speed Development",Monday_Training_Distance_Upper)</f>
        <v>0.1</v>
      </c>
      <c r="S9" s="44">
        <f t="shared" si="2"/>
        <v>2.3809523809523808E-2</v>
      </c>
      <c r="T9" s="44">
        <f t="shared" si="3"/>
        <v>1.1049723756906079E-2</v>
      </c>
    </row>
    <row r="10" spans="1:20" s="2" customFormat="1" ht="50" customHeight="1">
      <c r="A10" s="6" t="s">
        <v>23</v>
      </c>
      <c r="B10" s="6" t="str">
        <f>_xlfn.XLOOKUP(A10,TrainingTable[Training Component],TrainingTable[Category of Training Stimulus],"")</f>
        <v>Threshold</v>
      </c>
      <c r="C10" s="6" t="s">
        <v>58</v>
      </c>
      <c r="D10" s="6" t="s">
        <v>64</v>
      </c>
      <c r="E10" s="85" t="s">
        <v>196</v>
      </c>
      <c r="F10" s="85"/>
      <c r="G10" s="23">
        <v>16</v>
      </c>
      <c r="H10" s="23">
        <v>32</v>
      </c>
      <c r="I10" s="23">
        <v>2.4</v>
      </c>
      <c r="J10" s="23">
        <v>5.5</v>
      </c>
      <c r="L10" s="46" t="s">
        <v>74</v>
      </c>
      <c r="M10" s="23">
        <f>SUM(M4:M9)</f>
        <v>35</v>
      </c>
      <c r="N10" s="23">
        <f>SUM(N4:N9)</f>
        <v>64</v>
      </c>
      <c r="O10" s="47">
        <f>M10/M10</f>
        <v>1</v>
      </c>
      <c r="P10" s="45">
        <f t="shared" si="1"/>
        <v>1</v>
      </c>
      <c r="Q10" s="23">
        <f>SUM(Q4:Q9)</f>
        <v>4.2</v>
      </c>
      <c r="R10" s="23">
        <f>SUM(R4:R9)</f>
        <v>9.0499999999999989</v>
      </c>
      <c r="S10" s="47">
        <f t="shared" si="2"/>
        <v>1</v>
      </c>
      <c r="T10" s="47">
        <f t="shared" si="3"/>
        <v>1</v>
      </c>
    </row>
    <row r="11" spans="1:20" s="2" customFormat="1" ht="50" customHeight="1">
      <c r="A11" s="6" t="s">
        <v>49</v>
      </c>
      <c r="B11" s="6" t="str">
        <f>_xlfn.XLOOKUP(A11,TrainingTable[Training Component],TrainingTable[Category of Training Stimulus],"")</f>
        <v>Recovery</v>
      </c>
      <c r="C11" s="6" t="s">
        <v>57</v>
      </c>
      <c r="D11" s="6" t="s">
        <v>57</v>
      </c>
      <c r="E11" s="85" t="s">
        <v>192</v>
      </c>
      <c r="F11" s="85"/>
      <c r="G11" s="23">
        <v>5</v>
      </c>
      <c r="H11" s="23">
        <v>5</v>
      </c>
      <c r="I11" s="23">
        <v>0</v>
      </c>
      <c r="J11" s="23">
        <v>0</v>
      </c>
      <c r="L11" s="24"/>
      <c r="M11" s="16"/>
      <c r="N11" s="16"/>
      <c r="O11" s="16"/>
      <c r="P11" s="16"/>
      <c r="Q11" s="16"/>
      <c r="S11" s="16"/>
      <c r="T11" s="16"/>
    </row>
    <row r="12" spans="1:20" s="2" customFormat="1" ht="50" customHeight="1">
      <c r="A12" s="6" t="s">
        <v>28</v>
      </c>
      <c r="B12" s="6" t="str">
        <f>_xlfn.XLOOKUP(A12,TrainingTable[Training Component],TrainingTable[Category of Training Stimulus],"")</f>
        <v>Lactate Tolerance</v>
      </c>
      <c r="C12" s="6" t="s">
        <v>56</v>
      </c>
      <c r="D12" s="6" t="s">
        <v>64</v>
      </c>
      <c r="E12" s="85" t="s">
        <v>193</v>
      </c>
      <c r="F12" s="85"/>
      <c r="G12" s="23">
        <v>2</v>
      </c>
      <c r="H12" s="23">
        <v>2</v>
      </c>
      <c r="I12" s="23">
        <v>0.4</v>
      </c>
      <c r="J12" s="23">
        <v>0.5</v>
      </c>
      <c r="L12" s="24"/>
      <c r="M12" s="16"/>
      <c r="N12" s="16"/>
      <c r="O12" s="16"/>
      <c r="P12" s="16"/>
      <c r="Q12" s="16"/>
      <c r="S12" s="16"/>
      <c r="T12" s="16"/>
    </row>
    <row r="13" spans="1:20" s="2" customFormat="1" ht="50" customHeight="1">
      <c r="A13" s="6" t="s">
        <v>49</v>
      </c>
      <c r="B13" s="6" t="str">
        <f>_xlfn.XLOOKUP(A13,TrainingTable[Training Component],TrainingTable[Category of Training Stimulus],"")</f>
        <v>Recovery</v>
      </c>
      <c r="C13" s="6" t="s">
        <v>57</v>
      </c>
      <c r="D13" s="6" t="s">
        <v>57</v>
      </c>
      <c r="E13" s="85" t="s">
        <v>194</v>
      </c>
      <c r="F13" s="85"/>
      <c r="G13" s="23">
        <v>5</v>
      </c>
      <c r="H13" s="23">
        <v>5</v>
      </c>
      <c r="I13" s="23">
        <v>0</v>
      </c>
      <c r="J13" s="23">
        <v>0</v>
      </c>
      <c r="L13" s="24"/>
      <c r="M13" s="16"/>
      <c r="N13" s="16"/>
      <c r="O13" s="16"/>
      <c r="P13" s="16"/>
      <c r="Q13" s="16"/>
      <c r="S13" s="16"/>
      <c r="T13" s="16"/>
    </row>
    <row r="14" spans="1:20" s="2" customFormat="1" ht="50" customHeight="1">
      <c r="A14" s="6" t="s">
        <v>14</v>
      </c>
      <c r="B14" s="6" t="str">
        <f>_xlfn.XLOOKUP(A14,TrainingTable[Training Component],TrainingTable[Category of Training Stimulus],"")</f>
        <v>Aerobic Running</v>
      </c>
      <c r="C14" s="6" t="s">
        <v>57</v>
      </c>
      <c r="D14" s="6" t="s">
        <v>57</v>
      </c>
      <c r="E14" s="85" t="s">
        <v>185</v>
      </c>
      <c r="F14" s="85"/>
      <c r="G14" s="23">
        <v>5</v>
      </c>
      <c r="H14" s="23">
        <v>15</v>
      </c>
      <c r="I14" s="23">
        <v>0.6</v>
      </c>
      <c r="J14" s="23">
        <v>2</v>
      </c>
      <c r="L14" s="24"/>
      <c r="M14" s="16"/>
      <c r="N14" s="16"/>
      <c r="O14" s="16"/>
      <c r="P14" s="16"/>
      <c r="Q14" s="16"/>
      <c r="S14" s="16"/>
      <c r="T14" s="16"/>
    </row>
    <row r="15" spans="1:20" s="2" customFormat="1" ht="50" customHeight="1">
      <c r="A15" s="6" t="s">
        <v>21</v>
      </c>
      <c r="B15" s="6" t="str">
        <f>_xlfn.XLOOKUP(A15,TrainingTable[Training Component],TrainingTable[Category of Training Stimulus],"")</f>
        <v>Stretching and Mobility</v>
      </c>
      <c r="C15" s="6" t="s">
        <v>57</v>
      </c>
      <c r="D15" s="6" t="s">
        <v>57</v>
      </c>
      <c r="E15" s="85" t="s">
        <v>195</v>
      </c>
      <c r="F15" s="85"/>
      <c r="G15" s="23">
        <v>5</v>
      </c>
      <c r="H15" s="23">
        <v>5</v>
      </c>
      <c r="I15" s="23">
        <v>0</v>
      </c>
      <c r="J15" s="23">
        <v>0</v>
      </c>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5"/>
      <c r="F16" s="85"/>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5"/>
      <c r="F17" s="85"/>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5"/>
      <c r="F18" s="85"/>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5"/>
      <c r="F19" s="85"/>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5"/>
      <c r="F20" s="85"/>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5"/>
      <c r="F21" s="85"/>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5"/>
      <c r="F22" s="85"/>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5"/>
      <c r="F23" s="85"/>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5"/>
      <c r="F24" s="85"/>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5"/>
      <c r="F25" s="85"/>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5"/>
      <c r="F26" s="85"/>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6"/>
      <c r="F27" s="86"/>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6"/>
      <c r="F28" s="86"/>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6"/>
      <c r="F29" s="86"/>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Q2:T2"/>
    <mergeCell ref="E11:F11"/>
    <mergeCell ref="M2:P2"/>
    <mergeCell ref="M1:P1"/>
    <mergeCell ref="Q1:T1"/>
    <mergeCell ref="G1:J1"/>
    <mergeCell ref="E4:F4"/>
    <mergeCell ref="G2:H2"/>
    <mergeCell ref="I2:J2"/>
    <mergeCell ref="E29:F29"/>
    <mergeCell ref="E18:F18"/>
    <mergeCell ref="E19:F19"/>
    <mergeCell ref="E20:F20"/>
    <mergeCell ref="E21:F21"/>
    <mergeCell ref="E22:F22"/>
    <mergeCell ref="E23:F23"/>
    <mergeCell ref="E24:F24"/>
    <mergeCell ref="E25:F25"/>
    <mergeCell ref="E26:F26"/>
    <mergeCell ref="E27:F27"/>
    <mergeCell ref="E28:F28"/>
    <mergeCell ref="E17:F17"/>
    <mergeCell ref="E5:F5"/>
    <mergeCell ref="E6:F6"/>
    <mergeCell ref="E7:F7"/>
    <mergeCell ref="E8:F8"/>
    <mergeCell ref="E9:F9"/>
    <mergeCell ref="E10:F10"/>
    <mergeCell ref="E12:F12"/>
    <mergeCell ref="E13:F13"/>
    <mergeCell ref="E14:F14"/>
    <mergeCell ref="E15:F15"/>
    <mergeCell ref="E16:F16"/>
    <mergeCell ref="A2:A3"/>
    <mergeCell ref="B2:B3"/>
    <mergeCell ref="K2:K3"/>
    <mergeCell ref="D2:D3"/>
    <mergeCell ref="C2:C3"/>
    <mergeCell ref="E2:F3"/>
  </mergeCells>
  <conditionalFormatting sqref="A4:F4">
    <cfRule type="expression" dxfId="1103" priority="368">
      <formula>$B$4="Speed Development"</formula>
    </cfRule>
    <cfRule type="expression" dxfId="1102" priority="367">
      <formula>$B$4="Lactate Tolerance"</formula>
    </cfRule>
    <cfRule type="expression" dxfId="1101" priority="366">
      <formula>$B$4="VO2 Max"</formula>
    </cfRule>
    <cfRule type="expression" dxfId="1100" priority="365">
      <formula>$B$4="Threshold"</formula>
    </cfRule>
    <cfRule type="expression" dxfId="1099" priority="364">
      <formula>$B$4="Turnover and Pace Work"</formula>
    </cfRule>
    <cfRule type="expression" dxfId="1098" priority="363">
      <formula>$B$4="Aerobic Running"</formula>
    </cfRule>
    <cfRule type="expression" dxfId="1097" priority="362">
      <formula>$B$4="Stretching and Mobility"</formula>
    </cfRule>
    <cfRule type="expression" dxfId="1096" priority="361">
      <formula>$B$4="Recovery"</formula>
    </cfRule>
  </conditionalFormatting>
  <conditionalFormatting sqref="A5:F5">
    <cfRule type="expression" dxfId="1095" priority="176">
      <formula>$B$5="Speed Development"</formula>
    </cfRule>
    <cfRule type="expression" dxfId="1094" priority="175">
      <formula>$B$5="Lactate Tolerance"</formula>
    </cfRule>
    <cfRule type="expression" dxfId="1093" priority="174">
      <formula>$B$5="VO2 Max"</formula>
    </cfRule>
    <cfRule type="expression" dxfId="1092" priority="173">
      <formula>$B$5="Threshold"</formula>
    </cfRule>
    <cfRule type="expression" dxfId="1091" priority="172">
      <formula>$B$5="Turnover and Pace Work"</formula>
    </cfRule>
    <cfRule type="expression" dxfId="1090" priority="171">
      <formula>$B$5="Aerobic Running"</formula>
    </cfRule>
    <cfRule type="expression" dxfId="1089" priority="170">
      <formula>$B$5="Stretching and Mobility"</formula>
    </cfRule>
    <cfRule type="expression" dxfId="1088" priority="169">
      <formula>$B$5="Recovery"</formula>
    </cfRule>
  </conditionalFormatting>
  <conditionalFormatting sqref="A6:F6">
    <cfRule type="expression" dxfId="1087" priority="164">
      <formula>$B$6="Turnover and Pace Work"</formula>
    </cfRule>
    <cfRule type="expression" dxfId="1086" priority="167">
      <formula>$B$6="Lactate Tolerance"</formula>
    </cfRule>
    <cfRule type="expression" dxfId="1085" priority="166">
      <formula>$B$6="VO2 Max"</formula>
    </cfRule>
    <cfRule type="expression" dxfId="1084" priority="165">
      <formula>$B$6="Threshold"</formula>
    </cfRule>
    <cfRule type="expression" dxfId="1083" priority="168">
      <formula>$B$6="Speed Development"</formula>
    </cfRule>
    <cfRule type="expression" dxfId="1082" priority="163">
      <formula>$B$6="Aerobic Running"</formula>
    </cfRule>
    <cfRule type="expression" dxfId="1081" priority="162">
      <formula>$B$6="Stretching and Mobility"</formula>
    </cfRule>
    <cfRule type="expression" dxfId="1080" priority="161">
      <formula>$B$6="Recovery"</formula>
    </cfRule>
  </conditionalFormatting>
  <conditionalFormatting sqref="A7:F7">
    <cfRule type="expression" dxfId="1079" priority="160">
      <formula>$B$7="Speed Development"</formula>
    </cfRule>
    <cfRule type="expression" dxfId="1078" priority="159">
      <formula>$B$7="Lactate Tolerance"</formula>
    </cfRule>
    <cfRule type="expression" dxfId="1077" priority="158">
      <formula>$B$7="VO2 Max"</formula>
    </cfRule>
    <cfRule type="expression" dxfId="1076" priority="157">
      <formula>$B$7="Threshold"</formula>
    </cfRule>
    <cfRule type="expression" dxfId="1075" priority="156">
      <formula>$B$7="Turnover and Pace Work"</formula>
    </cfRule>
    <cfRule type="expression" dxfId="1074" priority="155">
      <formula>$B$7="Aerobic Running"</formula>
    </cfRule>
    <cfRule type="expression" dxfId="1073" priority="154">
      <formula>$B$7="Stretching and Mobility"</formula>
    </cfRule>
    <cfRule type="expression" dxfId="1072" priority="153">
      <formula>$B$7="Recovery"</formula>
    </cfRule>
  </conditionalFormatting>
  <conditionalFormatting sqref="A8:F8">
    <cfRule type="expression" dxfId="1071" priority="152">
      <formula>$B$8="Speed Development"</formula>
    </cfRule>
    <cfRule type="expression" dxfId="1070" priority="151">
      <formula>$B$8="Lactate Tolerance"</formula>
    </cfRule>
    <cfRule type="expression" dxfId="1069" priority="150">
      <formula>$B$8="VO2 Max"</formula>
    </cfRule>
    <cfRule type="expression" dxfId="1068" priority="149">
      <formula>$B$8="Threshold"</formula>
    </cfRule>
    <cfRule type="expression" dxfId="1067" priority="148">
      <formula>$B$8="Turnover and Pace Work"</formula>
    </cfRule>
    <cfRule type="expression" dxfId="1066" priority="147">
      <formula>$B$8="Aerobic Running"</formula>
    </cfRule>
    <cfRule type="expression" dxfId="1065" priority="146">
      <formula>$B$8="Stretching and Mobility"</formula>
    </cfRule>
    <cfRule type="expression" dxfId="1064" priority="145">
      <formula>$B$8="Recovery"</formula>
    </cfRule>
  </conditionalFormatting>
  <conditionalFormatting sqref="A9:F9">
    <cfRule type="expression" dxfId="1063" priority="140">
      <formula>$B$9="Turnover and Pace Work"</formula>
    </cfRule>
    <cfRule type="expression" dxfId="1062" priority="143">
      <formula>$B$9="Lactate Tolerance"</formula>
    </cfRule>
    <cfRule type="expression" dxfId="1061" priority="142">
      <formula>$B$9="VO2 Max"</formula>
    </cfRule>
    <cfRule type="expression" dxfId="1060" priority="141">
      <formula>$B$9="Threshold"</formula>
    </cfRule>
    <cfRule type="expression" dxfId="1059" priority="144">
      <formula>$B$9="Speed Development"</formula>
    </cfRule>
    <cfRule type="expression" dxfId="1058" priority="139">
      <formula>$B$9="Aerobic Running"</formula>
    </cfRule>
    <cfRule type="expression" dxfId="1057" priority="138">
      <formula>$B$9="Stretching and Mobility"</formula>
    </cfRule>
    <cfRule type="expression" dxfId="1056" priority="137">
      <formula>$B$9="Recovery"</formula>
    </cfRule>
  </conditionalFormatting>
  <conditionalFormatting sqref="A10:F10">
    <cfRule type="expression" dxfId="1055" priority="136">
      <formula>$B$10="Speed Development"</formula>
    </cfRule>
    <cfRule type="expression" dxfId="1054" priority="135">
      <formula>$B$10="Lactate Tolerance"</formula>
    </cfRule>
    <cfRule type="expression" dxfId="1053" priority="134">
      <formula>$B$10="VO2 Max"</formula>
    </cfRule>
    <cfRule type="expression" dxfId="1052" priority="133">
      <formula>$B$10="Threshold"</formula>
    </cfRule>
    <cfRule type="expression" dxfId="1051" priority="132">
      <formula>$B$10="Turnover and Pace Work"</formula>
    </cfRule>
    <cfRule type="expression" dxfId="1050" priority="131">
      <formula>$B$10="Aerobic Running"</formula>
    </cfRule>
    <cfRule type="expression" dxfId="1049" priority="130">
      <formula>$B$10="Stretching and Mobility"</formula>
    </cfRule>
    <cfRule type="expression" dxfId="1048" priority="129">
      <formula>$B$10="Recovery"</formula>
    </cfRule>
  </conditionalFormatting>
  <conditionalFormatting sqref="A11:F11">
    <cfRule type="expression" dxfId="1047" priority="128">
      <formula>$B$11="Speed Development"</formula>
    </cfRule>
    <cfRule type="expression" dxfId="1046" priority="127">
      <formula>$B$11="Lactate Tolerance"</formula>
    </cfRule>
    <cfRule type="expression" dxfId="1045" priority="126">
      <formula>$B$11="VO2 Max"</formula>
    </cfRule>
    <cfRule type="expression" dxfId="1044" priority="125">
      <formula>$B$11="Threshold"</formula>
    </cfRule>
    <cfRule type="expression" dxfId="1043" priority="124">
      <formula>$B$11="Turnover and Pace Work"</formula>
    </cfRule>
    <cfRule type="expression" dxfId="1042" priority="123">
      <formula>$B$11="Aerobic Running"</formula>
    </cfRule>
    <cfRule type="expression" dxfId="1041" priority="122">
      <formula>$B$11="Stretching and Mobility"</formula>
    </cfRule>
    <cfRule type="expression" dxfId="1040" priority="121">
      <formula>$B$11="Recovery"</formula>
    </cfRule>
  </conditionalFormatting>
  <conditionalFormatting sqref="A12:F12">
    <cfRule type="expression" dxfId="1039" priority="120">
      <formula>$B$12="Speed Development"</formula>
    </cfRule>
    <cfRule type="expression" dxfId="1038" priority="119">
      <formula>$B$12="Lactate Tolerance"</formula>
    </cfRule>
    <cfRule type="expression" dxfId="1037" priority="118">
      <formula>$B$12="VO2 Max"</formula>
    </cfRule>
    <cfRule type="expression" dxfId="1036" priority="117">
      <formula>$B$12="Threshold"</formula>
    </cfRule>
    <cfRule type="expression" dxfId="1035" priority="116">
      <formula>$B$12="Turnover and Pace Work"</formula>
    </cfRule>
    <cfRule type="expression" dxfId="1034" priority="115">
      <formula>$B$12="Aerobic Running"</formula>
    </cfRule>
    <cfRule type="expression" dxfId="1033" priority="114">
      <formula>$B$12="Stretching and Mobility"</formula>
    </cfRule>
    <cfRule type="expression" dxfId="1032" priority="113">
      <formula>$B$12="Recovery"</formula>
    </cfRule>
  </conditionalFormatting>
  <conditionalFormatting sqref="A13:F13">
    <cfRule type="expression" dxfId="1031" priority="112">
      <formula>$B$13="Speed Development"</formula>
    </cfRule>
    <cfRule type="expression" dxfId="1030" priority="111">
      <formula>$B$13="Lactate Tolerance"</formula>
    </cfRule>
    <cfRule type="expression" dxfId="1029" priority="110">
      <formula>$B$13="VO2 Max"</formula>
    </cfRule>
    <cfRule type="expression" dxfId="1028" priority="109">
      <formula>$B$13="Threshold"</formula>
    </cfRule>
    <cfRule type="expression" dxfId="1027" priority="108">
      <formula>$B$13="Turnover and Pace Work"</formula>
    </cfRule>
    <cfRule type="expression" dxfId="1026" priority="107">
      <formula>$B$13="Aerobic Running"</formula>
    </cfRule>
    <cfRule type="expression" dxfId="1025" priority="106">
      <formula>$B$13="Stretching and Mobility"</formula>
    </cfRule>
    <cfRule type="expression" dxfId="1024" priority="105">
      <formula>$B$13="Recovery"</formula>
    </cfRule>
  </conditionalFormatting>
  <conditionalFormatting sqref="A14:F14">
    <cfRule type="expression" dxfId="1023" priority="104">
      <formula>$B$14="Speed Development"</formula>
    </cfRule>
    <cfRule type="expression" dxfId="1022" priority="103">
      <formula>$B$14="Lactate Tolerance"</formula>
    </cfRule>
    <cfRule type="expression" dxfId="1021" priority="102">
      <formula>$B$14="VO2 Max"</formula>
    </cfRule>
    <cfRule type="expression" dxfId="1020" priority="101">
      <formula>$B$14="Threshold"</formula>
    </cfRule>
    <cfRule type="expression" dxfId="1019" priority="100">
      <formula>$B$14="Turnover and Pace Work"</formula>
    </cfRule>
    <cfRule type="expression" dxfId="1018" priority="99">
      <formula>$B$14="Aerobic Running"</formula>
    </cfRule>
    <cfRule type="expression" dxfId="1017" priority="98">
      <formula>$B$14="Stretching and Mobility"</formula>
    </cfRule>
    <cfRule type="expression" dxfId="1016" priority="97">
      <formula>$B$14="Recovery"</formula>
    </cfRule>
  </conditionalFormatting>
  <conditionalFormatting sqref="A15:F15">
    <cfRule type="expression" dxfId="1015" priority="93">
      <formula>$B$15="Threshold"</formula>
    </cfRule>
    <cfRule type="expression" dxfId="1014" priority="90">
      <formula>$B$15="Stretching and Mobility"</formula>
    </cfRule>
    <cfRule type="expression" dxfId="1013" priority="91">
      <formula>$B$15="Aerobic Running"</formula>
    </cfRule>
    <cfRule type="expression" dxfId="1012" priority="92">
      <formula>$B$15="Turnover and Pace Work"</formula>
    </cfRule>
    <cfRule type="expression" dxfId="1011" priority="89">
      <formula>$B$15="Recovery"</formula>
    </cfRule>
    <cfRule type="expression" dxfId="1010" priority="94">
      <formula>$B$15="VO2 Max"</formula>
    </cfRule>
    <cfRule type="expression" dxfId="1009" priority="95">
      <formula>$B$15="Lactate Tolerance"</formula>
    </cfRule>
    <cfRule type="expression" dxfId="1008" priority="96">
      <formula>$B$15="Speed Development"</formula>
    </cfRule>
  </conditionalFormatting>
  <conditionalFormatting sqref="A16:F16">
    <cfRule type="expression" dxfId="1007" priority="88">
      <formula>$B$16="Speed Development"</formula>
    </cfRule>
    <cfRule type="expression" dxfId="1006" priority="87">
      <formula>$B$16="Lactate Tolerance"</formula>
    </cfRule>
    <cfRule type="expression" dxfId="1005" priority="86">
      <formula>$B$16="VO2 Max"</formula>
    </cfRule>
    <cfRule type="expression" dxfId="1004" priority="85">
      <formula>$B$16="Threshold"</formula>
    </cfRule>
    <cfRule type="expression" dxfId="1003" priority="84">
      <formula>$B$16="Turnover and Pace Work"</formula>
    </cfRule>
    <cfRule type="expression" dxfId="1002" priority="83">
      <formula>$B$16="Aerobic Running"</formula>
    </cfRule>
    <cfRule type="expression" dxfId="1001" priority="82">
      <formula>$B$16="Stretching and Mobility"</formula>
    </cfRule>
    <cfRule type="expression" dxfId="1000" priority="81">
      <formula>$B$16="Recovery"</formula>
    </cfRule>
  </conditionalFormatting>
  <conditionalFormatting sqref="A17:F17">
    <cfRule type="expression" dxfId="999" priority="80">
      <formula>$B$17="Speed Development"</formula>
    </cfRule>
    <cfRule type="expression" dxfId="998" priority="79">
      <formula>$B$17="Lactate Tolerance"</formula>
    </cfRule>
    <cfRule type="expression" dxfId="997" priority="78">
      <formula>$B$17="VO2 Max"</formula>
    </cfRule>
    <cfRule type="expression" dxfId="996" priority="77">
      <formula>$B$17="Threshold"</formula>
    </cfRule>
    <cfRule type="expression" dxfId="995" priority="76">
      <formula>$B$17="Turnover and Pace Work"</formula>
    </cfRule>
    <cfRule type="expression" dxfId="994" priority="75">
      <formula>$B$17="Aerobic Running"</formula>
    </cfRule>
    <cfRule type="expression" dxfId="993" priority="74">
      <formula>$B$17="Stretching and Mobility"</formula>
    </cfRule>
    <cfRule type="expression" dxfId="992" priority="73">
      <formula>$B$17="Recovery"</formula>
    </cfRule>
  </conditionalFormatting>
  <conditionalFormatting sqref="A18:F18">
    <cfRule type="expression" dxfId="991" priority="72">
      <formula>$B$18="Speed Development"</formula>
    </cfRule>
    <cfRule type="expression" dxfId="990" priority="71">
      <formula>$B$18="Lactate Tolerance"</formula>
    </cfRule>
    <cfRule type="expression" dxfId="989" priority="70">
      <formula>$B$18="VO2 Max"</formula>
    </cfRule>
    <cfRule type="expression" dxfId="988" priority="69">
      <formula>$B$18="Threshold"</formula>
    </cfRule>
    <cfRule type="expression" dxfId="987" priority="68">
      <formula>$B$18="Turnover and Pace Work"</formula>
    </cfRule>
    <cfRule type="expression" dxfId="986" priority="67">
      <formula>$B$18="Aerobic Running"</formula>
    </cfRule>
    <cfRule type="expression" dxfId="985" priority="66">
      <formula>$B$18="Stretching and Mobility"</formula>
    </cfRule>
    <cfRule type="expression" dxfId="984" priority="65">
      <formula>$B$18="Recovery"</formula>
    </cfRule>
  </conditionalFormatting>
  <conditionalFormatting sqref="A19:F19">
    <cfRule type="expression" dxfId="983" priority="64">
      <formula>$B$19="Speed Development"</formula>
    </cfRule>
    <cfRule type="expression" dxfId="982" priority="63">
      <formula>$B$19="Lactate Tolerance"</formula>
    </cfRule>
    <cfRule type="expression" dxfId="981" priority="62">
      <formula>$B$19="VO2 Max"</formula>
    </cfRule>
    <cfRule type="expression" dxfId="980" priority="61">
      <formula>$B$19="Threshold"</formula>
    </cfRule>
    <cfRule type="expression" dxfId="979" priority="60">
      <formula>$B$19="Turnover and Pace Work"</formula>
    </cfRule>
    <cfRule type="expression" dxfId="978" priority="59">
      <formula>$B$19="Aerobic Running"</formula>
    </cfRule>
    <cfRule type="expression" dxfId="977" priority="58">
      <formula>$B$19="Stretching and Mobility"</formula>
    </cfRule>
    <cfRule type="expression" dxfId="976" priority="57">
      <formula>$B$19="Recovery"</formula>
    </cfRule>
  </conditionalFormatting>
  <conditionalFormatting sqref="A20:F20">
    <cfRule type="expression" dxfId="975" priority="56">
      <formula>$B$20="Speed Development"</formula>
    </cfRule>
    <cfRule type="expression" dxfId="974" priority="55">
      <formula>$B$20="Lactate Tolerance"</formula>
    </cfRule>
    <cfRule type="expression" dxfId="973" priority="54">
      <formula>$B$20="VO2 Max"</formula>
    </cfRule>
    <cfRule type="expression" dxfId="972" priority="53">
      <formula>$B$20="Threshold"</formula>
    </cfRule>
    <cfRule type="expression" dxfId="971" priority="52">
      <formula>$B$20="Turnover and Pace Work"</formula>
    </cfRule>
    <cfRule type="expression" dxfId="970" priority="51">
      <formula>$B$20="Aerobic Running"</formula>
    </cfRule>
    <cfRule type="expression" dxfId="969" priority="50">
      <formula>$B$20="Stretching and Mobility"</formula>
    </cfRule>
    <cfRule type="expression" dxfId="968" priority="49">
      <formula>$B$20="Recovery"</formula>
    </cfRule>
  </conditionalFormatting>
  <conditionalFormatting sqref="A21:F21">
    <cfRule type="expression" dxfId="967" priority="48">
      <formula>$B$21="Speed Development"</formula>
    </cfRule>
    <cfRule type="expression" dxfId="966" priority="47">
      <formula>$B$21="Lactate Tolerance"</formula>
    </cfRule>
    <cfRule type="expression" dxfId="965" priority="46">
      <formula>$B$21="VO2 Max"</formula>
    </cfRule>
    <cfRule type="expression" dxfId="964" priority="45">
      <formula>$B$21="Threshold"</formula>
    </cfRule>
    <cfRule type="expression" dxfId="963" priority="44">
      <formula>$B$21="Turnover and Pace Work"</formula>
    </cfRule>
    <cfRule type="expression" dxfId="962" priority="43">
      <formula>$B$21="Aerobic Running"</formula>
    </cfRule>
    <cfRule type="expression" dxfId="961" priority="42">
      <formula>$B$21="Stretching and Mobility"</formula>
    </cfRule>
    <cfRule type="expression" dxfId="960" priority="41">
      <formula>$B$21="Recovery"</formula>
    </cfRule>
  </conditionalFormatting>
  <conditionalFormatting sqref="A22:F22">
    <cfRule type="expression" dxfId="959" priority="40">
      <formula>$B$22="Speed Development"</formula>
    </cfRule>
    <cfRule type="expression" dxfId="958" priority="39">
      <formula>$B$22="Lactate Tolerance"</formula>
    </cfRule>
    <cfRule type="expression" dxfId="957" priority="38">
      <formula>$B$22="VO2 Max"</formula>
    </cfRule>
    <cfRule type="expression" dxfId="956" priority="37">
      <formula>$B$22="Threshold"</formula>
    </cfRule>
    <cfRule type="expression" dxfId="955" priority="36">
      <formula>$B$22="Turnover and Pace Work"</formula>
    </cfRule>
    <cfRule type="expression" dxfId="954" priority="35">
      <formula>$B$22="Aerobic Running"</formula>
    </cfRule>
    <cfRule type="expression" dxfId="953" priority="34">
      <formula>$B$22="Stretching and Mobility"</formula>
    </cfRule>
    <cfRule type="expression" dxfId="952" priority="33">
      <formula>$B$22="Recovery"</formula>
    </cfRule>
  </conditionalFormatting>
  <conditionalFormatting sqref="A23:F23">
    <cfRule type="expression" dxfId="951" priority="32">
      <formula>$B$23="Speed Development"</formula>
    </cfRule>
    <cfRule type="expression" dxfId="950" priority="31">
      <formula>$B$23="Lactate Tolerance"</formula>
    </cfRule>
    <cfRule type="expression" dxfId="949" priority="30">
      <formula>$B$23="VO2 Max"</formula>
    </cfRule>
    <cfRule type="expression" dxfId="948" priority="29">
      <formula>$B$23="Threshold"</formula>
    </cfRule>
    <cfRule type="expression" dxfId="947" priority="28">
      <formula>$B$23="Turnover and Pace Work"</formula>
    </cfRule>
    <cfRule type="expression" dxfId="946" priority="27">
      <formula>$B$23="Aerobic Running"</formula>
    </cfRule>
    <cfRule type="expression" dxfId="945" priority="26">
      <formula>$B$23="Stretching and Mobility"</formula>
    </cfRule>
    <cfRule type="expression" dxfId="944" priority="25">
      <formula>$B$23="Recovery"</formula>
    </cfRule>
  </conditionalFormatting>
  <conditionalFormatting sqref="A24:F24">
    <cfRule type="expression" dxfId="943" priority="24">
      <formula>$B$24="Speed Development"</formula>
    </cfRule>
    <cfRule type="expression" dxfId="942" priority="23">
      <formula>$B$24="Lactate Tolerance"</formula>
    </cfRule>
    <cfRule type="expression" dxfId="941" priority="22">
      <formula>$B$24="VO2 Max"</formula>
    </cfRule>
    <cfRule type="expression" dxfId="940" priority="21">
      <formula>$B$24="Threshold"</formula>
    </cfRule>
    <cfRule type="expression" dxfId="939" priority="20">
      <formula>$B$24="Turnover and Pace Work"</formula>
    </cfRule>
    <cfRule type="expression" dxfId="938" priority="19">
      <formula>$B$24="Aerobic Running"</formula>
    </cfRule>
    <cfRule type="expression" dxfId="937" priority="18">
      <formula>$B$24="Stretching and Mobility"</formula>
    </cfRule>
    <cfRule type="expression" dxfId="936" priority="17">
      <formula>$B$24="Recovery"</formula>
    </cfRule>
  </conditionalFormatting>
  <conditionalFormatting sqref="A25:F25">
    <cfRule type="expression" dxfId="935" priority="16">
      <formula>$B$25="Speed Development"</formula>
    </cfRule>
    <cfRule type="expression" dxfId="934" priority="15">
      <formula>$B$25="Lactate Tolerance"</formula>
    </cfRule>
    <cfRule type="expression" dxfId="933" priority="14">
      <formula>$B$25="VO2 Max"</formula>
    </cfRule>
    <cfRule type="expression" dxfId="932" priority="13">
      <formula>$B$25="Threshold"</formula>
    </cfRule>
    <cfRule type="expression" dxfId="931" priority="12">
      <formula>$B$25="Turnover and Pace Work"</formula>
    </cfRule>
    <cfRule type="expression" dxfId="930" priority="11">
      <formula>$B$25="Aerobic Running"</formula>
    </cfRule>
    <cfRule type="expression" dxfId="929" priority="10">
      <formula>$B$25="Stretching and Mobility"</formula>
    </cfRule>
    <cfRule type="expression" dxfId="928" priority="9">
      <formula>$B$25="Recovery"</formula>
    </cfRule>
  </conditionalFormatting>
  <conditionalFormatting sqref="A26:F26">
    <cfRule type="expression" dxfId="927" priority="8">
      <formula>$B$26="Speed Development"</formula>
    </cfRule>
    <cfRule type="expression" dxfId="926" priority="7">
      <formula>$B$26="Lactate Tolerance"</formula>
    </cfRule>
    <cfRule type="expression" dxfId="925" priority="6">
      <formula>$B$26="VO2 Max"</formula>
    </cfRule>
    <cfRule type="expression" dxfId="924" priority="5">
      <formula>$B$26="Threshold"</formula>
    </cfRule>
    <cfRule type="expression" dxfId="923" priority="4">
      <formula>$B$26="Turnover and Pace Work"</formula>
    </cfRule>
    <cfRule type="expression" dxfId="922" priority="3">
      <formula>$B$26="Aerobic Running"</formula>
    </cfRule>
    <cfRule type="expression" dxfId="921" priority="2">
      <formula>$B$26="Stretching and Mobility"</formula>
    </cfRule>
    <cfRule type="expression" dxfId="92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I7" sqref="I7"/>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75</v>
      </c>
      <c r="B1" s="21">
        <v>45713</v>
      </c>
      <c r="C1" s="20" t="s">
        <v>101</v>
      </c>
      <c r="D1" s="20" t="s">
        <v>178</v>
      </c>
      <c r="E1" s="92" t="s">
        <v>60</v>
      </c>
      <c r="F1" s="92"/>
      <c r="G1" s="90" t="s">
        <v>53</v>
      </c>
      <c r="H1" s="91"/>
      <c r="I1" s="91"/>
      <c r="J1" s="91"/>
      <c r="L1" s="25" t="s">
        <v>39</v>
      </c>
      <c r="M1" s="89" t="s">
        <v>11</v>
      </c>
      <c r="N1" s="89"/>
      <c r="O1" s="89"/>
      <c r="P1" s="89"/>
      <c r="Q1" s="89" t="s">
        <v>12</v>
      </c>
      <c r="R1" s="89"/>
      <c r="S1" s="89"/>
      <c r="T1" s="89"/>
    </row>
    <row r="2" spans="1:20" ht="25" customHeight="1">
      <c r="A2" s="82" t="s">
        <v>16</v>
      </c>
      <c r="B2" s="82" t="s">
        <v>40</v>
      </c>
      <c r="C2" s="82" t="s">
        <v>54</v>
      </c>
      <c r="D2" s="82" t="s">
        <v>62</v>
      </c>
      <c r="E2" s="84" t="s">
        <v>13</v>
      </c>
      <c r="F2" s="84"/>
      <c r="G2" s="89" t="s">
        <v>47</v>
      </c>
      <c r="H2" s="89"/>
      <c r="I2" s="89" t="s">
        <v>46</v>
      </c>
      <c r="J2" s="89"/>
      <c r="K2" s="83"/>
      <c r="L2" s="26"/>
      <c r="M2" s="88" t="s">
        <v>72</v>
      </c>
      <c r="N2" s="88"/>
      <c r="O2" s="88"/>
      <c r="P2" s="88"/>
      <c r="Q2" s="87" t="s">
        <v>73</v>
      </c>
      <c r="R2" s="87"/>
      <c r="S2" s="87"/>
      <c r="T2" s="87"/>
    </row>
    <row r="3" spans="1:20" ht="25" customHeight="1">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197</v>
      </c>
      <c r="F4" s="85"/>
      <c r="G4" s="23">
        <v>30</v>
      </c>
      <c r="H4" s="23">
        <v>60</v>
      </c>
      <c r="I4" s="23">
        <v>3</v>
      </c>
      <c r="J4" s="23">
        <v>8</v>
      </c>
      <c r="K4" s="2"/>
      <c r="L4" s="27" t="s">
        <v>71</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0.88235294117647056</v>
      </c>
      <c r="T4" s="39">
        <f>R4/$R$10</f>
        <v>0.93023255813953487</v>
      </c>
    </row>
    <row r="5" spans="1:20" ht="50" customHeight="1">
      <c r="A5" s="6" t="s">
        <v>42</v>
      </c>
      <c r="B5" s="6" t="str">
        <f>_xlfn.XLOOKUP(A5,TrainingTable[Training Component],TrainingTable[Category of Training Stimulus],"")</f>
        <v>Turnover and Pace Work</v>
      </c>
      <c r="C5" s="6" t="s">
        <v>55</v>
      </c>
      <c r="D5" s="6" t="s">
        <v>64</v>
      </c>
      <c r="E5" s="85" t="s">
        <v>198</v>
      </c>
      <c r="F5" s="85"/>
      <c r="G5" s="23">
        <v>2</v>
      </c>
      <c r="H5" s="23">
        <v>2</v>
      </c>
      <c r="I5" s="23">
        <v>0.4</v>
      </c>
      <c r="J5" s="23">
        <v>0.6</v>
      </c>
      <c r="K5" s="2"/>
      <c r="L5" s="29" t="s">
        <v>34</v>
      </c>
      <c r="M5" s="30">
        <f>SUMIF($B$4:$B$26,"Turnover and Pace Work",G4:G26)</f>
        <v>2</v>
      </c>
      <c r="N5" s="30">
        <f>SUMIF($B$4:$B$26,"Turnover and Pace Work",H4:H26)</f>
        <v>2</v>
      </c>
      <c r="O5" s="40">
        <f t="shared" si="0"/>
        <v>6.25E-2</v>
      </c>
      <c r="P5" s="40">
        <f t="shared" si="1"/>
        <v>3.2258064516129031E-2</v>
      </c>
      <c r="Q5" s="30">
        <f>SUMIF($B$4:$B$26,"Turnover and Pace Work",I4:I26)</f>
        <v>0.4</v>
      </c>
      <c r="R5" s="30">
        <f>SUMIF($B$4:$B$26,"Turnover and Pace Work",J4:J26)</f>
        <v>0.6</v>
      </c>
      <c r="S5" s="40">
        <f t="shared" ref="S5:S10" si="2">Q5/$Q$10</f>
        <v>0.11764705882352942</v>
      </c>
      <c r="T5" s="40">
        <f t="shared" ref="T5:T10" si="3">R5/$R$10</f>
        <v>6.9767441860465115E-2</v>
      </c>
    </row>
    <row r="6" spans="1:20" ht="50" customHeight="1">
      <c r="A6" s="6" t="s">
        <v>21</v>
      </c>
      <c r="B6" s="6" t="str">
        <f>_xlfn.XLOOKUP(A6,TrainingTable[Training Component],TrainingTable[Category of Training Stimulus],"")</f>
        <v>Stretching and Mobility</v>
      </c>
      <c r="C6" s="6" t="s">
        <v>55</v>
      </c>
      <c r="D6" s="6" t="s">
        <v>64</v>
      </c>
      <c r="E6" s="85" t="s">
        <v>199</v>
      </c>
      <c r="F6" s="85"/>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74</v>
      </c>
      <c r="M10" s="23">
        <f>SUM(M4:M9)</f>
        <v>32</v>
      </c>
      <c r="N10" s="23">
        <f>SUM(N4:N9)</f>
        <v>62</v>
      </c>
      <c r="O10" s="47">
        <f>M10/M10</f>
        <v>1</v>
      </c>
      <c r="P10" s="45">
        <f t="shared" si="1"/>
        <v>1</v>
      </c>
      <c r="Q10" s="23">
        <f>SUM(Q4:Q9)</f>
        <v>3.4</v>
      </c>
      <c r="R10" s="23">
        <f>SUM(R4:R9)</f>
        <v>8.6</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919" priority="184">
      <formula>$B$4="Speed Development"</formula>
    </cfRule>
    <cfRule type="expression" dxfId="918" priority="183">
      <formula>$B$4="Lactate Tolerance"</formula>
    </cfRule>
    <cfRule type="expression" dxfId="917" priority="182">
      <formula>$B$4="VO2 Max"</formula>
    </cfRule>
    <cfRule type="expression" dxfId="916" priority="181">
      <formula>$B$4="Threshold"</formula>
    </cfRule>
    <cfRule type="expression" dxfId="915" priority="180">
      <formula>$B$4="Turnover and Pace Work"</formula>
    </cfRule>
    <cfRule type="expression" dxfId="914" priority="179">
      <formula>$B$4="Aerobic Running"</formula>
    </cfRule>
    <cfRule type="expression" dxfId="913" priority="178">
      <formula>$B$4="Stretching and Mobility"</formula>
    </cfRule>
    <cfRule type="expression" dxfId="912" priority="177">
      <formula>$B$4="Recovery"</formula>
    </cfRule>
  </conditionalFormatting>
  <conditionalFormatting sqref="A5:F5">
    <cfRule type="expression" dxfId="911" priority="176">
      <formula>$B$5="Speed Development"</formula>
    </cfRule>
    <cfRule type="expression" dxfId="910" priority="175">
      <formula>$B$5="Lactate Tolerance"</formula>
    </cfRule>
    <cfRule type="expression" dxfId="909" priority="174">
      <formula>$B$5="VO2 Max"</formula>
    </cfRule>
    <cfRule type="expression" dxfId="908" priority="173">
      <formula>$B$5="Threshold"</formula>
    </cfRule>
    <cfRule type="expression" dxfId="907" priority="172">
      <formula>$B$5="Turnover and Pace Work"</formula>
    </cfRule>
    <cfRule type="expression" dxfId="906" priority="171">
      <formula>$B$5="Aerobic Running"</formula>
    </cfRule>
    <cfRule type="expression" dxfId="905" priority="170">
      <formula>$B$5="Stretching and Mobility"</formula>
    </cfRule>
    <cfRule type="expression" dxfId="904" priority="169">
      <formula>$B$5="Recovery"</formula>
    </cfRule>
  </conditionalFormatting>
  <conditionalFormatting sqref="A6:F6">
    <cfRule type="expression" dxfId="903" priority="164">
      <formula>$B$6="Turnover and Pace Work"</formula>
    </cfRule>
    <cfRule type="expression" dxfId="902" priority="167">
      <formula>$B$6="Lactate Tolerance"</formula>
    </cfRule>
    <cfRule type="expression" dxfId="901" priority="166">
      <formula>$B$6="VO2 Max"</formula>
    </cfRule>
    <cfRule type="expression" dxfId="900" priority="165">
      <formula>$B$6="Threshold"</formula>
    </cfRule>
    <cfRule type="expression" dxfId="899" priority="168">
      <formula>$B$6="Speed Development"</formula>
    </cfRule>
    <cfRule type="expression" dxfId="898" priority="163">
      <formula>$B$6="Aerobic Running"</formula>
    </cfRule>
    <cfRule type="expression" dxfId="897" priority="162">
      <formula>$B$6="Stretching and Mobility"</formula>
    </cfRule>
    <cfRule type="expression" dxfId="896" priority="161">
      <formula>$B$6="Recovery"</formula>
    </cfRule>
  </conditionalFormatting>
  <conditionalFormatting sqref="A7:F7">
    <cfRule type="expression" dxfId="895" priority="160">
      <formula>$B$7="Speed Development"</formula>
    </cfRule>
    <cfRule type="expression" dxfId="894" priority="159">
      <formula>$B$7="Lactate Tolerance"</formula>
    </cfRule>
    <cfRule type="expression" dxfId="893" priority="158">
      <formula>$B$7="VO2 Max"</formula>
    </cfRule>
    <cfRule type="expression" dxfId="892" priority="157">
      <formula>$B$7="Threshold"</formula>
    </cfRule>
    <cfRule type="expression" dxfId="891" priority="156">
      <formula>$B$7="Turnover and Pace Work"</formula>
    </cfRule>
    <cfRule type="expression" dxfId="890" priority="155">
      <formula>$B$7="Aerobic Running"</formula>
    </cfRule>
    <cfRule type="expression" dxfId="889" priority="154">
      <formula>$B$7="Stretching and Mobility"</formula>
    </cfRule>
    <cfRule type="expression" dxfId="888" priority="153">
      <formula>$B$7="Recovery"</formula>
    </cfRule>
  </conditionalFormatting>
  <conditionalFormatting sqref="A8:F8">
    <cfRule type="expression" dxfId="887" priority="152">
      <formula>$B$8="Speed Development"</formula>
    </cfRule>
    <cfRule type="expression" dxfId="886" priority="151">
      <formula>$B$8="Lactate Tolerance"</formula>
    </cfRule>
    <cfRule type="expression" dxfId="885" priority="150">
      <formula>$B$8="VO2 Max"</formula>
    </cfRule>
    <cfRule type="expression" dxfId="884" priority="149">
      <formula>$B$8="Threshold"</formula>
    </cfRule>
    <cfRule type="expression" dxfId="883" priority="148">
      <formula>$B$8="Turnover and Pace Work"</formula>
    </cfRule>
    <cfRule type="expression" dxfId="882" priority="147">
      <formula>$B$8="Aerobic Running"</formula>
    </cfRule>
    <cfRule type="expression" dxfId="881" priority="146">
      <formula>$B$8="Stretching and Mobility"</formula>
    </cfRule>
    <cfRule type="expression" dxfId="880" priority="145">
      <formula>$B$8="Recovery"</formula>
    </cfRule>
  </conditionalFormatting>
  <conditionalFormatting sqref="A9:F9">
    <cfRule type="expression" dxfId="879" priority="140">
      <formula>$B$9="Turnover and Pace Work"</formula>
    </cfRule>
    <cfRule type="expression" dxfId="878" priority="143">
      <formula>$B$9="Lactate Tolerance"</formula>
    </cfRule>
    <cfRule type="expression" dxfId="877" priority="142">
      <formula>$B$9="VO2 Max"</formula>
    </cfRule>
    <cfRule type="expression" dxfId="876" priority="141">
      <formula>$B$9="Threshold"</formula>
    </cfRule>
    <cfRule type="expression" dxfId="875" priority="144">
      <formula>$B$9="Speed Development"</formula>
    </cfRule>
    <cfRule type="expression" dxfId="874" priority="139">
      <formula>$B$9="Aerobic Running"</formula>
    </cfRule>
    <cfRule type="expression" dxfId="873" priority="138">
      <formula>$B$9="Stretching and Mobility"</formula>
    </cfRule>
    <cfRule type="expression" dxfId="872" priority="137">
      <formula>$B$9="Recovery"</formula>
    </cfRule>
  </conditionalFormatting>
  <conditionalFormatting sqref="A10:F10">
    <cfRule type="expression" dxfId="871" priority="136">
      <formula>$B$10="Speed Development"</formula>
    </cfRule>
    <cfRule type="expression" dxfId="870" priority="135">
      <formula>$B$10="Lactate Tolerance"</formula>
    </cfRule>
    <cfRule type="expression" dxfId="869" priority="134">
      <formula>$B$10="VO2 Max"</formula>
    </cfRule>
    <cfRule type="expression" dxfId="868" priority="133">
      <formula>$B$10="Threshold"</formula>
    </cfRule>
    <cfRule type="expression" dxfId="867" priority="132">
      <formula>$B$10="Turnover and Pace Work"</formula>
    </cfRule>
    <cfRule type="expression" dxfId="866" priority="131">
      <formula>$B$10="Aerobic Running"</formula>
    </cfRule>
    <cfRule type="expression" dxfId="865" priority="130">
      <formula>$B$10="Stretching and Mobility"</formula>
    </cfRule>
    <cfRule type="expression" dxfId="864" priority="129">
      <formula>$B$10="Recovery"</formula>
    </cfRule>
  </conditionalFormatting>
  <conditionalFormatting sqref="A11:F11">
    <cfRule type="expression" dxfId="863" priority="128">
      <formula>$B$11="Speed Development"</formula>
    </cfRule>
    <cfRule type="expression" dxfId="862" priority="127">
      <formula>$B$11="Lactate Tolerance"</formula>
    </cfRule>
    <cfRule type="expression" dxfId="861" priority="126">
      <formula>$B$11="VO2 Max"</formula>
    </cfRule>
    <cfRule type="expression" dxfId="860" priority="125">
      <formula>$B$11="Threshold"</formula>
    </cfRule>
    <cfRule type="expression" dxfId="859" priority="124">
      <formula>$B$11="Turnover and Pace Work"</formula>
    </cfRule>
    <cfRule type="expression" dxfId="858" priority="123">
      <formula>$B$11="Aerobic Running"</formula>
    </cfRule>
    <cfRule type="expression" dxfId="857" priority="122">
      <formula>$B$11="Stretching and Mobility"</formula>
    </cfRule>
    <cfRule type="expression" dxfId="856" priority="121">
      <formula>$B$11="Recovery"</formula>
    </cfRule>
  </conditionalFormatting>
  <conditionalFormatting sqref="A12:F12">
    <cfRule type="expression" dxfId="855" priority="120">
      <formula>$B$12="Speed Development"</formula>
    </cfRule>
    <cfRule type="expression" dxfId="854" priority="119">
      <formula>$B$12="Lactate Tolerance"</formula>
    </cfRule>
    <cfRule type="expression" dxfId="853" priority="118">
      <formula>$B$12="VO2 Max"</formula>
    </cfRule>
    <cfRule type="expression" dxfId="852" priority="117">
      <formula>$B$12="Threshold"</formula>
    </cfRule>
    <cfRule type="expression" dxfId="851" priority="116">
      <formula>$B$12="Turnover and Pace Work"</formula>
    </cfRule>
    <cfRule type="expression" dxfId="850" priority="115">
      <formula>$B$12="Aerobic Running"</formula>
    </cfRule>
    <cfRule type="expression" dxfId="849" priority="114">
      <formula>$B$12="Stretching and Mobility"</formula>
    </cfRule>
    <cfRule type="expression" dxfId="848" priority="113">
      <formula>$B$12="Recovery"</formula>
    </cfRule>
  </conditionalFormatting>
  <conditionalFormatting sqref="A13:F13">
    <cfRule type="expression" dxfId="847" priority="112">
      <formula>$B$13="Speed Development"</formula>
    </cfRule>
    <cfRule type="expression" dxfId="846" priority="111">
      <formula>$B$13="Lactate Tolerance"</formula>
    </cfRule>
    <cfRule type="expression" dxfId="845" priority="110">
      <formula>$B$13="VO2 Max"</formula>
    </cfRule>
    <cfRule type="expression" dxfId="844" priority="109">
      <formula>$B$13="Threshold"</formula>
    </cfRule>
    <cfRule type="expression" dxfId="843" priority="108">
      <formula>$B$13="Turnover and Pace Work"</formula>
    </cfRule>
    <cfRule type="expression" dxfId="842" priority="107">
      <formula>$B$13="Aerobic Running"</formula>
    </cfRule>
    <cfRule type="expression" dxfId="841" priority="106">
      <formula>$B$13="Stretching and Mobility"</formula>
    </cfRule>
    <cfRule type="expression" dxfId="840" priority="105">
      <formula>$B$13="Recovery"</formula>
    </cfRule>
  </conditionalFormatting>
  <conditionalFormatting sqref="A14:F14">
    <cfRule type="expression" dxfId="839" priority="104">
      <formula>$B$14="Speed Development"</formula>
    </cfRule>
    <cfRule type="expression" dxfId="838" priority="103">
      <formula>$B$14="Lactate Tolerance"</formula>
    </cfRule>
    <cfRule type="expression" dxfId="837" priority="102">
      <formula>$B$14="VO2 Max"</formula>
    </cfRule>
    <cfRule type="expression" dxfId="836" priority="101">
      <formula>$B$14="Threshold"</formula>
    </cfRule>
    <cfRule type="expression" dxfId="835" priority="100">
      <formula>$B$14="Turnover and Pace Work"</formula>
    </cfRule>
    <cfRule type="expression" dxfId="834" priority="99">
      <formula>$B$14="Aerobic Running"</formula>
    </cfRule>
    <cfRule type="expression" dxfId="833" priority="98">
      <formula>$B$14="Stretching and Mobility"</formula>
    </cfRule>
    <cfRule type="expression" dxfId="832" priority="97">
      <formula>$B$14="Recovery"</formula>
    </cfRule>
  </conditionalFormatting>
  <conditionalFormatting sqref="A15:F15">
    <cfRule type="expression" dxfId="831" priority="93">
      <formula>$B$15="Threshold"</formula>
    </cfRule>
    <cfRule type="expression" dxfId="830" priority="90">
      <formula>$B$15="Stretching and Mobility"</formula>
    </cfRule>
    <cfRule type="expression" dxfId="829" priority="91">
      <formula>$B$15="Aerobic Running"</formula>
    </cfRule>
    <cfRule type="expression" dxfId="828" priority="92">
      <formula>$B$15="Turnover and Pace Work"</formula>
    </cfRule>
    <cfRule type="expression" dxfId="827" priority="89">
      <formula>$B$15="Recovery"</formula>
    </cfRule>
    <cfRule type="expression" dxfId="826" priority="94">
      <formula>$B$15="VO2 Max"</formula>
    </cfRule>
    <cfRule type="expression" dxfId="825" priority="95">
      <formula>$B$15="Lactate Tolerance"</formula>
    </cfRule>
    <cfRule type="expression" dxfId="824" priority="96">
      <formula>$B$15="Speed Development"</formula>
    </cfRule>
  </conditionalFormatting>
  <conditionalFormatting sqref="A16:F16">
    <cfRule type="expression" dxfId="823" priority="88">
      <formula>$B$16="Speed Development"</formula>
    </cfRule>
    <cfRule type="expression" dxfId="822" priority="87">
      <formula>$B$16="Lactate Tolerance"</formula>
    </cfRule>
    <cfRule type="expression" dxfId="821" priority="86">
      <formula>$B$16="VO2 Max"</formula>
    </cfRule>
    <cfRule type="expression" dxfId="820" priority="85">
      <formula>$B$16="Threshold"</formula>
    </cfRule>
    <cfRule type="expression" dxfId="819" priority="84">
      <formula>$B$16="Turnover and Pace Work"</formula>
    </cfRule>
    <cfRule type="expression" dxfId="818" priority="83">
      <formula>$B$16="Aerobic Running"</formula>
    </cfRule>
    <cfRule type="expression" dxfId="817" priority="82">
      <formula>$B$16="Stretching and Mobility"</formula>
    </cfRule>
    <cfRule type="expression" dxfId="816" priority="81">
      <formula>$B$16="Recovery"</formula>
    </cfRule>
  </conditionalFormatting>
  <conditionalFormatting sqref="A17:F17">
    <cfRule type="expression" dxfId="815" priority="80">
      <formula>$B$17="Speed Development"</formula>
    </cfRule>
    <cfRule type="expression" dxfId="814" priority="79">
      <formula>$B$17="Lactate Tolerance"</formula>
    </cfRule>
    <cfRule type="expression" dxfId="813" priority="78">
      <formula>$B$17="VO2 Max"</formula>
    </cfRule>
    <cfRule type="expression" dxfId="812" priority="77">
      <formula>$B$17="Threshold"</formula>
    </cfRule>
    <cfRule type="expression" dxfId="811" priority="76">
      <formula>$B$17="Turnover and Pace Work"</formula>
    </cfRule>
    <cfRule type="expression" dxfId="810" priority="75">
      <formula>$B$17="Aerobic Running"</formula>
    </cfRule>
    <cfRule type="expression" dxfId="809" priority="74">
      <formula>$B$17="Stretching and Mobility"</formula>
    </cfRule>
    <cfRule type="expression" dxfId="808" priority="73">
      <formula>$B$17="Recovery"</formula>
    </cfRule>
  </conditionalFormatting>
  <conditionalFormatting sqref="A18:F18">
    <cfRule type="expression" dxfId="807" priority="72">
      <formula>$B$18="Speed Development"</formula>
    </cfRule>
    <cfRule type="expression" dxfId="806" priority="71">
      <formula>$B$18="Lactate Tolerance"</formula>
    </cfRule>
    <cfRule type="expression" dxfId="805" priority="70">
      <formula>$B$18="VO2 Max"</formula>
    </cfRule>
    <cfRule type="expression" dxfId="804" priority="69">
      <formula>$B$18="Threshold"</formula>
    </cfRule>
    <cfRule type="expression" dxfId="803" priority="68">
      <formula>$B$18="Turnover and Pace Work"</formula>
    </cfRule>
    <cfRule type="expression" dxfId="802" priority="67">
      <formula>$B$18="Aerobic Running"</formula>
    </cfRule>
    <cfRule type="expression" dxfId="801" priority="66">
      <formula>$B$18="Stretching and Mobility"</formula>
    </cfRule>
    <cfRule type="expression" dxfId="800" priority="65">
      <formula>$B$18="Recovery"</formula>
    </cfRule>
  </conditionalFormatting>
  <conditionalFormatting sqref="A19:F19">
    <cfRule type="expression" dxfId="799" priority="64">
      <formula>$B$19="Speed Development"</formula>
    </cfRule>
    <cfRule type="expression" dxfId="798" priority="63">
      <formula>$B$19="Lactate Tolerance"</formula>
    </cfRule>
    <cfRule type="expression" dxfId="797" priority="62">
      <formula>$B$19="VO2 Max"</formula>
    </cfRule>
    <cfRule type="expression" dxfId="796" priority="61">
      <formula>$B$19="Threshold"</formula>
    </cfRule>
    <cfRule type="expression" dxfId="795" priority="60">
      <formula>$B$19="Turnover and Pace Work"</formula>
    </cfRule>
    <cfRule type="expression" dxfId="794" priority="59">
      <formula>$B$19="Aerobic Running"</formula>
    </cfRule>
    <cfRule type="expression" dxfId="793" priority="58">
      <formula>$B$19="Stretching and Mobility"</formula>
    </cfRule>
    <cfRule type="expression" dxfId="792" priority="57">
      <formula>$B$19="Recovery"</formula>
    </cfRule>
  </conditionalFormatting>
  <conditionalFormatting sqref="A20:F20">
    <cfRule type="expression" dxfId="791" priority="56">
      <formula>$B$20="Speed Development"</formula>
    </cfRule>
    <cfRule type="expression" dxfId="790" priority="55">
      <formula>$B$20="Lactate Tolerance"</formula>
    </cfRule>
    <cfRule type="expression" dxfId="789" priority="54">
      <formula>$B$20="VO2 Max"</formula>
    </cfRule>
    <cfRule type="expression" dxfId="788" priority="53">
      <formula>$B$20="Threshold"</formula>
    </cfRule>
    <cfRule type="expression" dxfId="787" priority="52">
      <formula>$B$20="Turnover and Pace Work"</formula>
    </cfRule>
    <cfRule type="expression" dxfId="786" priority="51">
      <formula>$B$20="Aerobic Running"</formula>
    </cfRule>
    <cfRule type="expression" dxfId="785" priority="50">
      <formula>$B$20="Stretching and Mobility"</formula>
    </cfRule>
    <cfRule type="expression" dxfId="784" priority="49">
      <formula>$B$20="Recovery"</formula>
    </cfRule>
  </conditionalFormatting>
  <conditionalFormatting sqref="A21:F21">
    <cfRule type="expression" dxfId="783" priority="48">
      <formula>$B$21="Speed Development"</formula>
    </cfRule>
    <cfRule type="expression" dxfId="782" priority="47">
      <formula>$B$21="Lactate Tolerance"</formula>
    </cfRule>
    <cfRule type="expression" dxfId="781" priority="46">
      <formula>$B$21="VO2 Max"</formula>
    </cfRule>
    <cfRule type="expression" dxfId="780" priority="45">
      <formula>$B$21="Threshold"</formula>
    </cfRule>
    <cfRule type="expression" dxfId="779" priority="44">
      <formula>$B$21="Turnover and Pace Work"</formula>
    </cfRule>
    <cfRule type="expression" dxfId="778" priority="43">
      <formula>$B$21="Aerobic Running"</formula>
    </cfRule>
    <cfRule type="expression" dxfId="777" priority="42">
      <formula>$B$21="Stretching and Mobility"</formula>
    </cfRule>
    <cfRule type="expression" dxfId="776" priority="41">
      <formula>$B$21="Recovery"</formula>
    </cfRule>
  </conditionalFormatting>
  <conditionalFormatting sqref="A22:F22">
    <cfRule type="expression" dxfId="775" priority="40">
      <formula>$B$22="Speed Development"</formula>
    </cfRule>
    <cfRule type="expression" dxfId="774" priority="39">
      <formula>$B$22="Lactate Tolerance"</formula>
    </cfRule>
    <cfRule type="expression" dxfId="773" priority="38">
      <formula>$B$22="VO2 Max"</formula>
    </cfRule>
    <cfRule type="expression" dxfId="772" priority="37">
      <formula>$B$22="Threshold"</formula>
    </cfRule>
    <cfRule type="expression" dxfId="771" priority="36">
      <formula>$B$22="Turnover and Pace Work"</formula>
    </cfRule>
    <cfRule type="expression" dxfId="770" priority="35">
      <formula>$B$22="Aerobic Running"</formula>
    </cfRule>
    <cfRule type="expression" dxfId="769" priority="34">
      <formula>$B$22="Stretching and Mobility"</formula>
    </cfRule>
    <cfRule type="expression" dxfId="768" priority="33">
      <formula>$B$22="Recovery"</formula>
    </cfRule>
  </conditionalFormatting>
  <conditionalFormatting sqref="A23:F23">
    <cfRule type="expression" dxfId="767" priority="32">
      <formula>$B$23="Speed Development"</formula>
    </cfRule>
    <cfRule type="expression" dxfId="766" priority="31">
      <formula>$B$23="Lactate Tolerance"</formula>
    </cfRule>
    <cfRule type="expression" dxfId="765" priority="30">
      <formula>$B$23="VO2 Max"</formula>
    </cfRule>
    <cfRule type="expression" dxfId="764" priority="29">
      <formula>$B$23="Threshold"</formula>
    </cfRule>
    <cfRule type="expression" dxfId="763" priority="28">
      <formula>$B$23="Turnover and Pace Work"</formula>
    </cfRule>
    <cfRule type="expression" dxfId="762" priority="27">
      <formula>$B$23="Aerobic Running"</formula>
    </cfRule>
    <cfRule type="expression" dxfId="761" priority="26">
      <formula>$B$23="Stretching and Mobility"</formula>
    </cfRule>
    <cfRule type="expression" dxfId="760" priority="25">
      <formula>$B$23="Recovery"</formula>
    </cfRule>
  </conditionalFormatting>
  <conditionalFormatting sqref="A24:F24">
    <cfRule type="expression" dxfId="759" priority="24">
      <formula>$B$24="Speed Development"</formula>
    </cfRule>
    <cfRule type="expression" dxfId="758" priority="23">
      <formula>$B$24="Lactate Tolerance"</formula>
    </cfRule>
    <cfRule type="expression" dxfId="757" priority="22">
      <formula>$B$24="VO2 Max"</formula>
    </cfRule>
    <cfRule type="expression" dxfId="756" priority="21">
      <formula>$B$24="Threshold"</formula>
    </cfRule>
    <cfRule type="expression" dxfId="755" priority="20">
      <formula>$B$24="Turnover and Pace Work"</formula>
    </cfRule>
    <cfRule type="expression" dxfId="754" priority="19">
      <formula>$B$24="Aerobic Running"</formula>
    </cfRule>
    <cfRule type="expression" dxfId="753" priority="18">
      <formula>$B$24="Stretching and Mobility"</formula>
    </cfRule>
    <cfRule type="expression" dxfId="752" priority="17">
      <formula>$B$24="Recovery"</formula>
    </cfRule>
  </conditionalFormatting>
  <conditionalFormatting sqref="A25:F25">
    <cfRule type="expression" dxfId="751" priority="16">
      <formula>$B$25="Speed Development"</formula>
    </cfRule>
    <cfRule type="expression" dxfId="750" priority="15">
      <formula>$B$25="Lactate Tolerance"</formula>
    </cfRule>
    <cfRule type="expression" dxfId="749" priority="14">
      <formula>$B$25="VO2 Max"</formula>
    </cfRule>
    <cfRule type="expression" dxfId="748" priority="13">
      <formula>$B$25="Threshold"</formula>
    </cfRule>
    <cfRule type="expression" dxfId="747" priority="12">
      <formula>$B$25="Turnover and Pace Work"</formula>
    </cfRule>
    <cfRule type="expression" dxfId="746" priority="11">
      <formula>$B$25="Aerobic Running"</formula>
    </cfRule>
    <cfRule type="expression" dxfId="745" priority="10">
      <formula>$B$25="Stretching and Mobility"</formula>
    </cfRule>
    <cfRule type="expression" dxfId="744" priority="9">
      <formula>$B$25="Recovery"</formula>
    </cfRule>
  </conditionalFormatting>
  <conditionalFormatting sqref="A26:F26">
    <cfRule type="expression" dxfId="743" priority="8">
      <formula>$B$26="Speed Development"</formula>
    </cfRule>
    <cfRule type="expression" dxfId="742" priority="7">
      <formula>$B$26="Lactate Tolerance"</formula>
    </cfRule>
    <cfRule type="expression" dxfId="741" priority="6">
      <formula>$B$26="VO2 Max"</formula>
    </cfRule>
    <cfRule type="expression" dxfId="740" priority="5">
      <formula>$B$26="Threshold"</formula>
    </cfRule>
    <cfRule type="expression" dxfId="739" priority="4">
      <formula>$B$26="Turnover and Pace Work"</formula>
    </cfRule>
    <cfRule type="expression" dxfId="738" priority="3">
      <formula>$B$26="Aerobic Running"</formula>
    </cfRule>
    <cfRule type="expression" dxfId="737" priority="2">
      <formula>$B$26="Stretching and Mobility"</formula>
    </cfRule>
    <cfRule type="expression" dxfId="736"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 type="list" allowBlank="1" showInputMessage="1" showErrorMessage="1" xr:uid="{29C30560-7250-5A48-8F56-DBDD72F79E69}">
          <x14:formula1>
            <xm:f>Data!$F$2:$F$50</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zoomScale="140" zoomScaleNormal="140" workbookViewId="0">
      <selection activeCell="J10" sqref="J10"/>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77</v>
      </c>
      <c r="B1" s="21">
        <v>45714</v>
      </c>
      <c r="C1" s="20" t="s">
        <v>103</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72</v>
      </c>
      <c r="N2" s="88"/>
      <c r="O2" s="88"/>
      <c r="P2" s="88"/>
      <c r="Q2" s="87" t="s">
        <v>73</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197</v>
      </c>
      <c r="F4" s="85"/>
      <c r="G4" s="23">
        <v>30</v>
      </c>
      <c r="H4" s="23">
        <v>60</v>
      </c>
      <c r="I4" s="23">
        <v>3</v>
      </c>
      <c r="J4" s="23">
        <v>8</v>
      </c>
      <c r="K4" s="2"/>
      <c r="L4" s="27" t="s">
        <v>71</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0.88235294117647056</v>
      </c>
      <c r="T4" s="39">
        <f>R4/$R$10</f>
        <v>0.95238095238095233</v>
      </c>
    </row>
    <row r="5" spans="1:20" ht="50" customHeight="1">
      <c r="A5" s="6" t="s">
        <v>202</v>
      </c>
      <c r="B5" s="6" t="str">
        <f>_xlfn.XLOOKUP(A5,TrainingTable[Training Component],TrainingTable[Category of Training Stimulus],"")</f>
        <v>Turnover and Pace Work</v>
      </c>
      <c r="C5" s="6" t="s">
        <v>55</v>
      </c>
      <c r="D5" s="6" t="s">
        <v>57</v>
      </c>
      <c r="E5" s="85" t="s">
        <v>203</v>
      </c>
      <c r="F5" s="85"/>
      <c r="G5" s="23">
        <v>2</v>
      </c>
      <c r="H5" s="23">
        <v>2</v>
      </c>
      <c r="I5" s="23">
        <v>0.4</v>
      </c>
      <c r="J5" s="23">
        <v>0.4</v>
      </c>
      <c r="K5" s="2"/>
      <c r="L5" s="29" t="s">
        <v>34</v>
      </c>
      <c r="M5" s="30">
        <f>SUMIF($B$4:$B$26,"Turnover and Pace Work",G4:G26)</f>
        <v>2</v>
      </c>
      <c r="N5" s="30">
        <f>SUMIF($B$4:$B$26,"Turnover and Pace Work",H4:H26)</f>
        <v>2</v>
      </c>
      <c r="O5" s="40">
        <f t="shared" si="0"/>
        <v>6.25E-2</v>
      </c>
      <c r="P5" s="40">
        <f t="shared" si="1"/>
        <v>3.2258064516129031E-2</v>
      </c>
      <c r="Q5" s="30">
        <f>SUMIF($B$4:$B$26,"Turnover and Pace Work",I4:I26)</f>
        <v>0.4</v>
      </c>
      <c r="R5" s="30">
        <f>SUMIF($B$4:$B$26,"Turnover and Pace Work",J4:J26)</f>
        <v>0.4</v>
      </c>
      <c r="S5" s="40">
        <f t="shared" ref="S5:S10" si="2">Q5/$Q$10</f>
        <v>0.11764705882352942</v>
      </c>
      <c r="T5" s="40">
        <f t="shared" ref="T5:T10" si="3">R5/$R$10</f>
        <v>4.7619047619047616E-2</v>
      </c>
    </row>
    <row r="6" spans="1:20" ht="50" customHeight="1">
      <c r="A6" s="6"/>
      <c r="B6" s="6" t="str">
        <f>_xlfn.XLOOKUP(A6,TrainingTable[Training Component],TrainingTable[Category of Training Stimulus],"")</f>
        <v/>
      </c>
      <c r="C6" s="6"/>
      <c r="D6" s="6"/>
      <c r="E6" s="85"/>
      <c r="F6" s="85"/>
      <c r="G6" s="23"/>
      <c r="H6" s="23"/>
      <c r="I6" s="23"/>
      <c r="J6" s="23"/>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74</v>
      </c>
      <c r="M10" s="23">
        <f>SUM(M4:M9)</f>
        <v>32</v>
      </c>
      <c r="N10" s="23">
        <f>SUM(N4:N9)</f>
        <v>62</v>
      </c>
      <c r="O10" s="47">
        <f>M10/M10</f>
        <v>1</v>
      </c>
      <c r="P10" s="45">
        <f t="shared" si="1"/>
        <v>1</v>
      </c>
      <c r="Q10" s="23">
        <f>SUM(Q4:Q9)</f>
        <v>3.4</v>
      </c>
      <c r="R10" s="23">
        <f>SUM(R4:R9)</f>
        <v>8.4</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topLeftCell="B9" zoomScale="140" zoomScaleNormal="140" workbookViewId="0">
      <selection activeCell="G16" sqref="G16"/>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45715</v>
      </c>
      <c r="C1" s="20" t="s">
        <v>101</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72</v>
      </c>
      <c r="N2" s="88"/>
      <c r="O2" s="88"/>
      <c r="P2" s="88"/>
      <c r="Q2" s="87" t="s">
        <v>73</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5" t="s">
        <v>184</v>
      </c>
      <c r="F4" s="85"/>
      <c r="G4" s="23">
        <v>3</v>
      </c>
      <c r="H4" s="23">
        <v>6</v>
      </c>
      <c r="I4" s="23">
        <v>0.5</v>
      </c>
      <c r="J4" s="23">
        <v>0.75</v>
      </c>
      <c r="K4" s="2"/>
      <c r="L4" s="27" t="s">
        <v>71</v>
      </c>
      <c r="M4" s="28">
        <f>SUMIF($B$4:$B$26,"Aerobic Running",G4:G26)</f>
        <v>13</v>
      </c>
      <c r="N4" s="28">
        <f>SUMIF($B$4:$B$26,"Aerobic Running",H4:H26)</f>
        <v>26</v>
      </c>
      <c r="O4" s="39">
        <f t="shared" ref="O4:O9" si="0">M4/$M$10</f>
        <v>0.48148148148148145</v>
      </c>
      <c r="P4" s="39">
        <f t="shared" ref="P4:P10" si="1">N4/$N$10</f>
        <v>0.56521739130434778</v>
      </c>
      <c r="Q4" s="28">
        <f>SUMIF($B$4:$B$26,"Aerobic Running",I4:I26)</f>
        <v>1.75</v>
      </c>
      <c r="R4" s="28">
        <f>SUMIF($B$4:$B$26,"Aerobic Running",J4:J26)</f>
        <v>3.45</v>
      </c>
      <c r="S4" s="39">
        <f>Q4/$Q$10</f>
        <v>0.42682926829268297</v>
      </c>
      <c r="T4" s="39">
        <f>R4/$R$10</f>
        <v>0.52272727272727282</v>
      </c>
    </row>
    <row r="5" spans="1:20" ht="50" customHeight="1">
      <c r="A5" s="6" t="s">
        <v>19</v>
      </c>
      <c r="B5" s="6" t="str">
        <f>_xlfn.XLOOKUP(A5,TrainingTable[Training Component],TrainingTable[Category of Training Stimulus],"")</f>
        <v>Stretching and Mobility</v>
      </c>
      <c r="C5" s="6" t="s">
        <v>55</v>
      </c>
      <c r="D5" s="6" t="s">
        <v>67</v>
      </c>
      <c r="E5" s="85" t="s">
        <v>69</v>
      </c>
      <c r="F5" s="85"/>
      <c r="G5" s="23">
        <v>5</v>
      </c>
      <c r="H5" s="23">
        <v>8</v>
      </c>
      <c r="I5" s="23">
        <v>0.2</v>
      </c>
      <c r="J5" s="23">
        <v>0.2</v>
      </c>
      <c r="K5" s="2"/>
      <c r="L5" s="29" t="s">
        <v>34</v>
      </c>
      <c r="M5" s="30">
        <f>SUMIF($B$4:$B$26,"Turnover and Pace Work",G4:G26)</f>
        <v>1</v>
      </c>
      <c r="N5" s="30">
        <f>SUMIF($B$4:$B$26,"Turnover and Pace Work",H4:H26)</f>
        <v>1</v>
      </c>
      <c r="O5" s="40">
        <f t="shared" si="0"/>
        <v>3.7037037037037035E-2</v>
      </c>
      <c r="P5" s="40">
        <f t="shared" si="1"/>
        <v>2.1739130434782608E-2</v>
      </c>
      <c r="Q5" s="30">
        <f>SUMIF($B$4:$B$26,"Turnover and Pace Work",I4:I26)</f>
        <v>0.15</v>
      </c>
      <c r="R5" s="30">
        <f>SUMIF($B$4:$B$26,"Turnover and Pace Work",J4:J26)</f>
        <v>0.15</v>
      </c>
      <c r="S5" s="40">
        <f t="shared" ref="S5:S10" si="2">Q5/$Q$10</f>
        <v>3.6585365853658541E-2</v>
      </c>
      <c r="T5" s="40">
        <f t="shared" ref="T5:T10" si="3">R5/$R$10</f>
        <v>2.2727272727272728E-2</v>
      </c>
    </row>
    <row r="6" spans="1:20" ht="50" customHeight="1">
      <c r="A6" s="6" t="s">
        <v>43</v>
      </c>
      <c r="B6" s="6" t="str">
        <f>_xlfn.XLOOKUP(A6,TrainingTable[Training Component],TrainingTable[Category of Training Stimulus],"")</f>
        <v>Turnover and Pace Work</v>
      </c>
      <c r="C6" s="6" t="s">
        <v>55</v>
      </c>
      <c r="D6" s="6" t="s">
        <v>64</v>
      </c>
      <c r="E6" s="85" t="s">
        <v>70</v>
      </c>
      <c r="F6" s="85"/>
      <c r="G6" s="23">
        <v>1</v>
      </c>
      <c r="H6" s="23">
        <v>1</v>
      </c>
      <c r="I6" s="23">
        <v>0.15</v>
      </c>
      <c r="J6" s="23">
        <v>0.15</v>
      </c>
      <c r="K6" s="2"/>
      <c r="L6" s="31" t="s">
        <v>22</v>
      </c>
      <c r="M6" s="32">
        <f>SUMIF($B$4:$B$26,"Threshold",G4:G26)</f>
        <v>6</v>
      </c>
      <c r="N6" s="32">
        <f>SUMIF($B$4:$B$26,"Threshold",H4:H26)</f>
        <v>8</v>
      </c>
      <c r="O6" s="41">
        <f t="shared" si="0"/>
        <v>0.22222222222222221</v>
      </c>
      <c r="P6" s="41">
        <f t="shared" si="1"/>
        <v>0.17391304347826086</v>
      </c>
      <c r="Q6" s="32">
        <f>SUMIF($B$4:$B$26,"Threshold",I4:I26)</f>
        <v>1</v>
      </c>
      <c r="R6" s="32">
        <f>SUMIF($B$4:$B$26,"Threshold",J4:J26)</f>
        <v>1</v>
      </c>
      <c r="S6" s="41">
        <f t="shared" si="2"/>
        <v>0.24390243902439027</v>
      </c>
      <c r="T6" s="41">
        <f t="shared" si="3"/>
        <v>0.15151515151515152</v>
      </c>
    </row>
    <row r="7" spans="1:20" ht="50" customHeight="1">
      <c r="A7" s="6" t="s">
        <v>49</v>
      </c>
      <c r="B7" s="6" t="str">
        <f>_xlfn.XLOOKUP(A7,TrainingTable[Training Component],TrainingTable[Category of Training Stimulus],"")</f>
        <v>Recovery</v>
      </c>
      <c r="C7" s="6" t="s">
        <v>57</v>
      </c>
      <c r="D7" s="6" t="s">
        <v>57</v>
      </c>
      <c r="E7" s="85" t="s">
        <v>200</v>
      </c>
      <c r="F7" s="85"/>
      <c r="G7" s="23">
        <v>5</v>
      </c>
      <c r="H7" s="23">
        <v>5</v>
      </c>
      <c r="I7" s="23">
        <v>0</v>
      </c>
      <c r="J7" s="23">
        <v>0</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31</v>
      </c>
      <c r="B8" s="6" t="str">
        <f>_xlfn.XLOOKUP(A8,TrainingTable[Training Component],TrainingTable[Category of Training Stimulus],"")</f>
        <v>Speed Development</v>
      </c>
      <c r="C8" s="6" t="s">
        <v>56</v>
      </c>
      <c r="D8" s="6" t="s">
        <v>64</v>
      </c>
      <c r="E8" s="85" t="s">
        <v>201</v>
      </c>
      <c r="F8" s="85"/>
      <c r="G8" s="23">
        <v>1</v>
      </c>
      <c r="H8" s="23">
        <v>1</v>
      </c>
      <c r="I8" s="23">
        <v>0.1</v>
      </c>
      <c r="J8" s="23">
        <v>0.1</v>
      </c>
      <c r="K8" s="2"/>
      <c r="L8" s="33" t="s">
        <v>2</v>
      </c>
      <c r="M8" s="34">
        <f>SUMIF($B$4:$B$26,"Lactate Tolerance",G4:G26)</f>
        <v>6</v>
      </c>
      <c r="N8" s="34">
        <f>SUMIF($B$4:$B$26,"Lactate Tolerance",H4:H26)</f>
        <v>10</v>
      </c>
      <c r="O8" s="43">
        <f t="shared" si="0"/>
        <v>0.22222222222222221</v>
      </c>
      <c r="P8" s="43">
        <f t="shared" si="1"/>
        <v>0.21739130434782608</v>
      </c>
      <c r="Q8" s="34">
        <f>SUMIF($B$4:$B$26,"Lactate Tolerance",I4:I26)</f>
        <v>1.1000000000000001</v>
      </c>
      <c r="R8" s="34">
        <f>SUMIF($B$4:$B$26,"Lactate Tolerance",J4:J26)</f>
        <v>1.9</v>
      </c>
      <c r="S8" s="43">
        <f t="shared" si="2"/>
        <v>0.26829268292682934</v>
      </c>
      <c r="T8" s="43">
        <f t="shared" si="3"/>
        <v>0.2878787878787879</v>
      </c>
    </row>
    <row r="9" spans="1:20" ht="50" customHeight="1">
      <c r="A9" s="6" t="s">
        <v>49</v>
      </c>
      <c r="B9" s="6" t="str">
        <f>_xlfn.XLOOKUP(A9,TrainingTable[Training Component],TrainingTable[Category of Training Stimulus],"")</f>
        <v>Recovery</v>
      </c>
      <c r="C9" s="6" t="s">
        <v>57</v>
      </c>
      <c r="D9" s="6" t="s">
        <v>57</v>
      </c>
      <c r="E9" s="85" t="s">
        <v>204</v>
      </c>
      <c r="F9" s="85"/>
      <c r="G9" s="23">
        <v>5</v>
      </c>
      <c r="H9" s="23">
        <v>5</v>
      </c>
      <c r="I9" s="23">
        <v>0</v>
      </c>
      <c r="J9" s="23">
        <v>0</v>
      </c>
      <c r="K9" s="2"/>
      <c r="L9" s="37" t="s">
        <v>3</v>
      </c>
      <c r="M9" s="38">
        <f>SUMIF($B$4:$B$26,"Speed Development",G4:G26)</f>
        <v>1</v>
      </c>
      <c r="N9" s="38">
        <f>SUMIF($B$4:$B$26,"Speed Development",H4:H26)</f>
        <v>1</v>
      </c>
      <c r="O9" s="44">
        <f t="shared" si="0"/>
        <v>3.7037037037037035E-2</v>
      </c>
      <c r="P9" s="44">
        <f t="shared" si="1"/>
        <v>2.1739130434782608E-2</v>
      </c>
      <c r="Q9" s="38">
        <f>SUMIF($B$4:$B$26,"Speed Development",I4:I26)</f>
        <v>0.1</v>
      </c>
      <c r="R9" s="38">
        <f>SUMIF($B$4:$B$26,"Speed Development",J4:J26)</f>
        <v>0.1</v>
      </c>
      <c r="S9" s="44">
        <f t="shared" si="2"/>
        <v>2.4390243902439029E-2</v>
      </c>
      <c r="T9" s="44">
        <f t="shared" si="3"/>
        <v>1.5151515151515154E-2</v>
      </c>
    </row>
    <row r="10" spans="1:20" ht="50" customHeight="1">
      <c r="A10" s="6" t="s">
        <v>28</v>
      </c>
      <c r="B10" s="6" t="str">
        <f>_xlfn.XLOOKUP(A10,TrainingTable[Training Component],TrainingTable[Category of Training Stimulus],"")</f>
        <v>Lactate Tolerance</v>
      </c>
      <c r="C10" s="6" t="s">
        <v>56</v>
      </c>
      <c r="D10" s="6" t="s">
        <v>64</v>
      </c>
      <c r="E10" s="93" t="s">
        <v>208</v>
      </c>
      <c r="F10" s="94"/>
      <c r="G10" s="23">
        <v>6</v>
      </c>
      <c r="H10" s="23">
        <v>10</v>
      </c>
      <c r="I10" s="23">
        <v>1.1000000000000001</v>
      </c>
      <c r="J10" s="23">
        <v>1.9</v>
      </c>
      <c r="K10" s="2"/>
      <c r="L10" s="46" t="s">
        <v>74</v>
      </c>
      <c r="M10" s="23">
        <f>SUM(M4:M9)</f>
        <v>27</v>
      </c>
      <c r="N10" s="23">
        <f>SUM(N4:N9)</f>
        <v>46</v>
      </c>
      <c r="O10" s="47">
        <f>M10/M10</f>
        <v>1</v>
      </c>
      <c r="P10" s="45">
        <f t="shared" si="1"/>
        <v>1</v>
      </c>
      <c r="Q10" s="23">
        <f>SUM(Q4:Q9)</f>
        <v>4.0999999999999996</v>
      </c>
      <c r="R10" s="23">
        <f>SUM(R4:R9)</f>
        <v>6.6</v>
      </c>
      <c r="S10" s="47">
        <f t="shared" si="2"/>
        <v>1</v>
      </c>
      <c r="T10" s="47">
        <f t="shared" si="3"/>
        <v>1</v>
      </c>
    </row>
    <row r="11" spans="1:20" ht="50" customHeight="1">
      <c r="A11" s="6" t="s">
        <v>49</v>
      </c>
      <c r="B11" s="6" t="str">
        <f>_xlfn.XLOOKUP(A11,TrainingTable[Training Component],TrainingTable[Category of Training Stimulus],"")</f>
        <v>Recovery</v>
      </c>
      <c r="C11" s="6" t="s">
        <v>57</v>
      </c>
      <c r="D11" s="6" t="s">
        <v>57</v>
      </c>
      <c r="E11" s="85" t="s">
        <v>206</v>
      </c>
      <c r="F11" s="85"/>
      <c r="G11" s="23">
        <v>5</v>
      </c>
      <c r="H11" s="23">
        <v>5</v>
      </c>
      <c r="I11" s="23">
        <v>0</v>
      </c>
      <c r="J11" s="23">
        <v>0</v>
      </c>
      <c r="K11" s="2"/>
      <c r="L11" s="24"/>
      <c r="M11" s="16"/>
      <c r="N11" s="16"/>
      <c r="O11" s="16"/>
      <c r="P11" s="16"/>
      <c r="Q11" s="16"/>
      <c r="R11" s="2"/>
      <c r="S11" s="16"/>
      <c r="T11" s="16"/>
    </row>
    <row r="12" spans="1:20" ht="50" customHeight="1">
      <c r="A12" s="6" t="s">
        <v>24</v>
      </c>
      <c r="B12" s="6" t="str">
        <f>_xlfn.XLOOKUP(A12,TrainingTable[Training Component],TrainingTable[Category of Training Stimulus],"")</f>
        <v>Threshold</v>
      </c>
      <c r="C12" s="6" t="s">
        <v>55</v>
      </c>
      <c r="D12" s="6" t="s">
        <v>64</v>
      </c>
      <c r="E12" s="85" t="s">
        <v>205</v>
      </c>
      <c r="F12" s="85"/>
      <c r="G12" s="23">
        <v>6</v>
      </c>
      <c r="H12" s="23">
        <v>8</v>
      </c>
      <c r="I12" s="23">
        <v>1</v>
      </c>
      <c r="J12" s="23">
        <v>1</v>
      </c>
      <c r="K12" s="2"/>
      <c r="L12" s="24"/>
      <c r="M12" s="16"/>
      <c r="N12" s="16"/>
      <c r="O12" s="16"/>
      <c r="P12" s="16"/>
      <c r="Q12" s="16"/>
      <c r="R12" s="2"/>
      <c r="S12" s="16"/>
      <c r="T12" s="16"/>
    </row>
    <row r="13" spans="1:20" ht="50" customHeight="1">
      <c r="A13" s="6" t="s">
        <v>14</v>
      </c>
      <c r="B13" s="6" t="str">
        <f>_xlfn.XLOOKUP(A13,TrainingTable[Training Component],TrainingTable[Category of Training Stimulus],"")</f>
        <v>Aerobic Running</v>
      </c>
      <c r="C13" s="6" t="s">
        <v>55</v>
      </c>
      <c r="D13" s="6" t="s">
        <v>67</v>
      </c>
      <c r="E13" s="85" t="s">
        <v>207</v>
      </c>
      <c r="F13" s="85"/>
      <c r="G13" s="23">
        <v>10</v>
      </c>
      <c r="H13" s="23">
        <v>20</v>
      </c>
      <c r="I13" s="23">
        <v>1.25</v>
      </c>
      <c r="J13" s="23">
        <v>2.7</v>
      </c>
      <c r="K13" s="2"/>
      <c r="L13" s="24"/>
      <c r="M13" s="16"/>
      <c r="N13" s="16"/>
      <c r="O13" s="16"/>
      <c r="P13" s="16"/>
      <c r="Q13" s="16"/>
      <c r="R13" s="2"/>
      <c r="S13" s="16"/>
      <c r="T13" s="16"/>
    </row>
    <row r="14" spans="1:20" ht="50" customHeight="1">
      <c r="A14" s="6" t="s">
        <v>21</v>
      </c>
      <c r="B14" s="6" t="str">
        <f>_xlfn.XLOOKUP(A14,TrainingTable[Training Component],TrainingTable[Category of Training Stimulus],"")</f>
        <v>Stretching and Mobility</v>
      </c>
      <c r="C14" s="6" t="s">
        <v>55</v>
      </c>
      <c r="D14" s="6" t="s">
        <v>64</v>
      </c>
      <c r="E14" s="85" t="s">
        <v>177</v>
      </c>
      <c r="F14" s="85"/>
      <c r="G14" s="23">
        <v>5</v>
      </c>
      <c r="H14" s="23">
        <v>5</v>
      </c>
      <c r="I14" s="23">
        <v>0</v>
      </c>
      <c r="J14" s="23">
        <v>0</v>
      </c>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topLeftCell="D1" zoomScale="140" zoomScaleNormal="140" workbookViewId="0">
      <selection activeCell="I6" sqref="I6"/>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81</v>
      </c>
      <c r="B1" s="21">
        <v>45716</v>
      </c>
      <c r="C1" s="20" t="s">
        <v>103</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72</v>
      </c>
      <c r="N2" s="88"/>
      <c r="O2" s="88"/>
      <c r="P2" s="88"/>
      <c r="Q2" s="87" t="s">
        <v>73</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19</v>
      </c>
      <c r="B4" s="6" t="str">
        <f>_xlfn.XLOOKUP(A4,TrainingTable[Training Component],TrainingTable[Category of Training Stimulus],"")</f>
        <v>Stretching and Mobility</v>
      </c>
      <c r="C4" s="6" t="s">
        <v>55</v>
      </c>
      <c r="D4" s="6" t="s">
        <v>67</v>
      </c>
      <c r="E4" s="85" t="s">
        <v>76</v>
      </c>
      <c r="F4" s="85"/>
      <c r="G4" s="23">
        <v>5</v>
      </c>
      <c r="H4" s="23">
        <v>5</v>
      </c>
      <c r="I4" s="23">
        <v>0.2</v>
      </c>
      <c r="J4" s="23">
        <v>0.2</v>
      </c>
      <c r="K4" s="2"/>
      <c r="L4" s="27" t="s">
        <v>71</v>
      </c>
      <c r="M4" s="28">
        <f>SUMIF($B$4:$B$26,"Aerobic Running",G4:G26)</f>
        <v>20</v>
      </c>
      <c r="N4" s="28">
        <f>SUMIF($B$4:$B$26,"Aerobic Running",H4:H26)</f>
        <v>45</v>
      </c>
      <c r="O4" s="39">
        <f t="shared" ref="O4:O9" si="0">M4/$M$10</f>
        <v>0.95238095238095233</v>
      </c>
      <c r="P4" s="39">
        <f t="shared" ref="P4:P10" si="1">N4/$N$10</f>
        <v>0.95744680851063835</v>
      </c>
      <c r="Q4" s="28">
        <f>SUMIF($B$4:$B$26,"Aerobic Running",I4:I26)</f>
        <v>3.75</v>
      </c>
      <c r="R4" s="28">
        <f>SUMIF($B$4:$B$26,"Aerobic Running",J4:J26)</f>
        <v>8</v>
      </c>
      <c r="S4" s="39">
        <f>Q4/$Q$10</f>
        <v>0.90361445783132521</v>
      </c>
      <c r="T4" s="39">
        <f>R4/$R$10</f>
        <v>0.93023255813953487</v>
      </c>
    </row>
    <row r="5" spans="1:20" ht="50" customHeight="1">
      <c r="A5" s="6" t="s">
        <v>0</v>
      </c>
      <c r="B5" s="6" t="str">
        <f>_xlfn.XLOOKUP(A5,TrainingTable[Training Component],TrainingTable[Category of Training Stimulus],"")</f>
        <v>Aerobic Running</v>
      </c>
      <c r="C5" s="6" t="s">
        <v>55</v>
      </c>
      <c r="D5" s="6" t="s">
        <v>67</v>
      </c>
      <c r="E5" s="85" t="s">
        <v>211</v>
      </c>
      <c r="F5" s="85"/>
      <c r="G5" s="23">
        <v>20</v>
      </c>
      <c r="H5" s="23">
        <v>45</v>
      </c>
      <c r="I5" s="23">
        <v>3.75</v>
      </c>
      <c r="J5" s="23">
        <v>8</v>
      </c>
      <c r="K5" s="2"/>
      <c r="L5" s="29" t="s">
        <v>34</v>
      </c>
      <c r="M5" s="30">
        <f>SUMIF($B$4:$B$26,"Turnover and Pace Work",G4:G26)</f>
        <v>1</v>
      </c>
      <c r="N5" s="30">
        <f>SUMIF($B$4:$B$26,"Turnover and Pace Work",H4:H26)</f>
        <v>2</v>
      </c>
      <c r="O5" s="40">
        <f t="shared" si="0"/>
        <v>4.7619047619047616E-2</v>
      </c>
      <c r="P5" s="40">
        <f t="shared" si="1"/>
        <v>4.2553191489361701E-2</v>
      </c>
      <c r="Q5" s="30">
        <f>SUMIF($B$4:$B$26,"Turnover and Pace Work",I4:I26)</f>
        <v>0.4</v>
      </c>
      <c r="R5" s="30">
        <f>SUMIF($B$4:$B$26,"Turnover and Pace Work",J4:J26)</f>
        <v>0.6</v>
      </c>
      <c r="S5" s="40">
        <f t="shared" ref="S5:S10" si="2">Q5/$Q$10</f>
        <v>9.638554216867469E-2</v>
      </c>
      <c r="T5" s="40">
        <f t="shared" ref="T5:T10" si="3">R5/$R$10</f>
        <v>6.9767441860465115E-2</v>
      </c>
    </row>
    <row r="6" spans="1:20" ht="50" customHeight="1">
      <c r="A6" s="6" t="s">
        <v>42</v>
      </c>
      <c r="B6" s="6" t="str">
        <f>_xlfn.XLOOKUP(A6,TrainingTable[Training Component],TrainingTable[Category of Training Stimulus],"")</f>
        <v>Turnover and Pace Work</v>
      </c>
      <c r="C6" s="6" t="s">
        <v>55</v>
      </c>
      <c r="D6" s="6" t="s">
        <v>68</v>
      </c>
      <c r="E6" s="85" t="s">
        <v>80</v>
      </c>
      <c r="F6" s="85"/>
      <c r="G6" s="23">
        <v>1</v>
      </c>
      <c r="H6" s="23">
        <v>2</v>
      </c>
      <c r="I6" s="23">
        <v>0.4</v>
      </c>
      <c r="J6" s="23">
        <v>0.6</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t="s">
        <v>57</v>
      </c>
      <c r="D7" s="6" t="s">
        <v>57</v>
      </c>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t="s">
        <v>57</v>
      </c>
      <c r="D8" s="6" t="s">
        <v>57</v>
      </c>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t="s">
        <v>57</v>
      </c>
      <c r="D9" s="6" t="s">
        <v>57</v>
      </c>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5"/>
      <c r="F10" s="85"/>
      <c r="G10" s="23"/>
      <c r="H10" s="23"/>
      <c r="I10" s="23"/>
      <c r="J10" s="23"/>
      <c r="K10" s="2"/>
      <c r="L10" s="46" t="s">
        <v>74</v>
      </c>
      <c r="M10" s="23">
        <f>SUM(M4:M9)</f>
        <v>21</v>
      </c>
      <c r="N10" s="23">
        <f>SUM(N4:N9)</f>
        <v>47</v>
      </c>
      <c r="O10" s="47">
        <f>M10/M10</f>
        <v>1</v>
      </c>
      <c r="P10" s="45">
        <f t="shared" si="1"/>
        <v>1</v>
      </c>
      <c r="Q10" s="23">
        <f>SUM(Q4:Q9)</f>
        <v>4.1500000000000004</v>
      </c>
      <c r="R10" s="23">
        <f>SUM(R4:R9)</f>
        <v>8.6</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zoomScale="140" zoomScaleNormal="140" workbookViewId="0">
      <selection activeCell="A8" sqref="A8"/>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85</v>
      </c>
      <c r="B1" s="21">
        <v>45717</v>
      </c>
      <c r="C1" s="20" t="s">
        <v>82</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72</v>
      </c>
      <c r="N2" s="88"/>
      <c r="O2" s="88"/>
      <c r="P2" s="88"/>
      <c r="Q2" s="87" t="s">
        <v>73</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19</v>
      </c>
      <c r="B4" s="6" t="str">
        <f>_xlfn.XLOOKUP(A4,TrainingTable[Training Component],TrainingTable[Category of Training Stimulus],"")</f>
        <v>Stretching and Mobility</v>
      </c>
      <c r="C4" s="6" t="s">
        <v>55</v>
      </c>
      <c r="D4" s="6" t="s">
        <v>67</v>
      </c>
      <c r="E4" s="85" t="s">
        <v>78</v>
      </c>
      <c r="F4" s="85"/>
      <c r="G4" s="23">
        <v>5</v>
      </c>
      <c r="H4" s="23">
        <v>5</v>
      </c>
      <c r="I4" s="23">
        <v>0.2</v>
      </c>
      <c r="J4" s="23">
        <v>0.2</v>
      </c>
      <c r="K4" s="2"/>
      <c r="L4" s="27" t="s">
        <v>71</v>
      </c>
      <c r="M4" s="28">
        <f>SUMIF($B$4:$B$26,"Aerobic Running",G4:G26)</f>
        <v>45</v>
      </c>
      <c r="N4" s="28">
        <f>SUMIF($B$4:$B$26,"Aerobic Running",H4:H26)</f>
        <v>90</v>
      </c>
      <c r="O4" s="39">
        <f t="shared" ref="O4:O9" si="0">M4/$M$10</f>
        <v>0.95744680851063835</v>
      </c>
      <c r="P4" s="39">
        <f t="shared" ref="P4:P10" si="1">N4/$N$10</f>
        <v>0.97826086956521741</v>
      </c>
      <c r="Q4" s="28">
        <f>SUMIF($B$4:$B$26,"Aerobic Running",I4:I26)</f>
        <v>5</v>
      </c>
      <c r="R4" s="28">
        <f>SUMIF($B$4:$B$26,"Aerobic Running",J4:J26)</f>
        <v>14</v>
      </c>
      <c r="S4" s="39">
        <f>Q4/$Q$10</f>
        <v>0.92592592592592582</v>
      </c>
      <c r="T4" s="39">
        <f>R4/$R$10</f>
        <v>0.97222222222222221</v>
      </c>
    </row>
    <row r="5" spans="1:20" ht="50" customHeight="1">
      <c r="A5" s="6" t="s">
        <v>82</v>
      </c>
      <c r="B5" s="6" t="str">
        <f>_xlfn.XLOOKUP(A5,TrainingTable[Training Component],TrainingTable[Category of Training Stimulus],"")</f>
        <v>Aerobic Running</v>
      </c>
      <c r="C5" s="6" t="s">
        <v>55</v>
      </c>
      <c r="D5" s="6" t="s">
        <v>67</v>
      </c>
      <c r="E5" s="85" t="s">
        <v>209</v>
      </c>
      <c r="F5" s="85"/>
      <c r="G5" s="23">
        <v>45</v>
      </c>
      <c r="H5" s="23">
        <v>90</v>
      </c>
      <c r="I5" s="23">
        <v>5</v>
      </c>
      <c r="J5" s="23">
        <v>14</v>
      </c>
      <c r="K5" s="2"/>
      <c r="L5" s="29" t="s">
        <v>34</v>
      </c>
      <c r="M5" s="30">
        <f>SUMIF($B$4:$B$26,"Turnover and Pace Work",G4:G26)</f>
        <v>2</v>
      </c>
      <c r="N5" s="30">
        <f>SUMIF($B$4:$B$26,"Turnover and Pace Work",H4:H26)</f>
        <v>2</v>
      </c>
      <c r="O5" s="40">
        <f t="shared" si="0"/>
        <v>4.2553191489361701E-2</v>
      </c>
      <c r="P5" s="40">
        <f t="shared" si="1"/>
        <v>2.1739130434782608E-2</v>
      </c>
      <c r="Q5" s="30">
        <f>SUMIF($B$4:$B$26,"Turnover and Pace Work",I4:I26)</f>
        <v>0.4</v>
      </c>
      <c r="R5" s="30">
        <f>SUMIF($B$4:$B$26,"Turnover and Pace Work",J4:J26)</f>
        <v>0.4</v>
      </c>
      <c r="S5" s="40">
        <f t="shared" ref="S5:S10" si="2">Q5/$Q$10</f>
        <v>7.407407407407407E-2</v>
      </c>
      <c r="T5" s="40">
        <f t="shared" ref="T5:T10" si="3">R5/$R$10</f>
        <v>2.777777777777778E-2</v>
      </c>
    </row>
    <row r="6" spans="1:20" ht="50" customHeight="1">
      <c r="A6" s="6" t="s">
        <v>42</v>
      </c>
      <c r="B6" s="6" t="str">
        <f>_xlfn.XLOOKUP(A6,TrainingTable[Training Component],TrainingTable[Category of Training Stimulus],"")</f>
        <v>Turnover and Pace Work</v>
      </c>
      <c r="C6" s="6" t="s">
        <v>55</v>
      </c>
      <c r="D6" s="6" t="s">
        <v>67</v>
      </c>
      <c r="E6" s="85" t="s">
        <v>210</v>
      </c>
      <c r="F6" s="85"/>
      <c r="G6" s="23">
        <v>2</v>
      </c>
      <c r="H6" s="23">
        <v>2</v>
      </c>
      <c r="I6" s="23">
        <v>0.4</v>
      </c>
      <c r="J6" s="23">
        <v>0.4</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20</v>
      </c>
      <c r="B7" s="6" t="str">
        <f>_xlfn.XLOOKUP(A7,TrainingTable[Training Component],TrainingTable[Category of Training Stimulus],"")</f>
        <v>Stretching and Mobility</v>
      </c>
      <c r="C7" s="6" t="s">
        <v>55</v>
      </c>
      <c r="D7" s="6" t="s">
        <v>57</v>
      </c>
      <c r="E7" s="85" t="s">
        <v>83</v>
      </c>
      <c r="F7" s="85"/>
      <c r="G7" s="23">
        <v>5</v>
      </c>
      <c r="H7" s="23">
        <v>10</v>
      </c>
      <c r="I7" s="23">
        <v>0</v>
      </c>
      <c r="J7" s="23">
        <v>0</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t="s">
        <v>57</v>
      </c>
      <c r="D8" s="6" t="s">
        <v>57</v>
      </c>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t="s">
        <v>57</v>
      </c>
      <c r="D9" s="6" t="s">
        <v>57</v>
      </c>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5"/>
      <c r="F10" s="85"/>
      <c r="G10" s="23"/>
      <c r="H10" s="23"/>
      <c r="I10" s="23"/>
      <c r="J10" s="23"/>
      <c r="K10" s="2"/>
      <c r="L10" s="46" t="s">
        <v>74</v>
      </c>
      <c r="M10" s="23">
        <f>SUM(M4:M9)</f>
        <v>47</v>
      </c>
      <c r="N10" s="23">
        <f>SUM(N4:N9)</f>
        <v>92</v>
      </c>
      <c r="O10" s="47">
        <f>M10/M10</f>
        <v>1</v>
      </c>
      <c r="P10" s="45">
        <f t="shared" si="1"/>
        <v>1</v>
      </c>
      <c r="Q10" s="23">
        <f>SUM(Q4:Q9)</f>
        <v>5.4</v>
      </c>
      <c r="R10" s="23">
        <f>SUM(R4:R9)</f>
        <v>14.4</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zoomScale="140" zoomScaleNormal="140" workbookViewId="0">
      <selection activeCell="B1" sqref="B1"/>
    </sheetView>
  </sheetViews>
  <sheetFormatPr baseColWidth="10" defaultRowHeight="17"/>
  <cols>
    <col min="1" max="1" width="43.6640625" style="2" customWidth="1"/>
    <col min="2" max="2" width="17.33203125" style="2" customWidth="1"/>
    <col min="3" max="4" width="17.33203125" style="16" customWidth="1"/>
    <col min="5" max="5" width="81.33203125" style="2" customWidth="1"/>
    <col min="6" max="26" width="10.83203125" style="2"/>
  </cols>
  <sheetData>
    <row r="1" spans="1:5" ht="50" customHeight="1">
      <c r="A1" s="3" t="s">
        <v>171</v>
      </c>
      <c r="B1" s="5" t="s">
        <v>8</v>
      </c>
    </row>
    <row r="2" spans="1:5" ht="19" customHeight="1"/>
    <row r="3" spans="1:5" ht="50" customHeight="1">
      <c r="A3" s="51" t="s">
        <v>105</v>
      </c>
      <c r="B3" s="51" t="s">
        <v>106</v>
      </c>
      <c r="C3" s="53" t="s">
        <v>107</v>
      </c>
      <c r="D3" s="53" t="s">
        <v>108</v>
      </c>
      <c r="E3" s="51" t="s">
        <v>13</v>
      </c>
    </row>
    <row r="4" spans="1:5" ht="50" customHeight="1">
      <c r="A4" s="6" t="str" cm="1">
        <f t="array" ref="A4:E9">_xlfn._xlws.FILTER(Strength_Core2[],Strength_Core2[Routine]=B1)</f>
        <v>Bulgarian Split Squats</v>
      </c>
      <c r="B4" s="6" t="str">
        <v>Lower Body A</v>
      </c>
      <c r="C4" s="23">
        <v>3</v>
      </c>
      <c r="D4" s="23" t="str">
        <v>5-8 each leg</v>
      </c>
      <c r="E4" s="6" t="str">
        <v>https://www.youtube.com/watch?v=SkNsa3eBwLA</v>
      </c>
    </row>
    <row r="5" spans="1:5" ht="50" customHeight="1">
      <c r="A5" s="6" t="str">
        <v>Front Squat (or Goblet Squat)</v>
      </c>
      <c r="B5" s="6" t="str">
        <v>Lower Body A</v>
      </c>
      <c r="C5" s="23">
        <v>3</v>
      </c>
      <c r="D5" s="23" t="str">
        <v>5-8</v>
      </c>
      <c r="E5" s="6" t="str">
        <v>https://www.youtube.com/watch?v=x6Xh7WqVh-M</v>
      </c>
    </row>
    <row r="6" spans="1:5" ht="50" customHeight="1">
      <c r="A6" s="6" t="str">
        <v>Nordic Hamstring Curl</v>
      </c>
      <c r="B6" s="6" t="str">
        <v>Lower Body A</v>
      </c>
      <c r="C6" s="23">
        <v>2</v>
      </c>
      <c r="D6" s="23" t="str">
        <v>5-8</v>
      </c>
      <c r="E6" s="6" t="str">
        <v>https://www.youtube.com/watch?v=YiZr79uC_yE</v>
      </c>
    </row>
    <row r="7" spans="1:5" ht="50" customHeight="1">
      <c r="A7" s="6" t="str">
        <v>Assisted Single Leg Squat (TRX or Chair)</v>
      </c>
      <c r="B7" s="6" t="str">
        <v>Lower Body A</v>
      </c>
      <c r="C7" s="23">
        <v>2</v>
      </c>
      <c r="D7" s="23" t="str">
        <v>10-15 each leg</v>
      </c>
      <c r="E7" s="6" t="str">
        <v>https://www.youtube.com/watch?v=_wTnziOp_7g</v>
      </c>
    </row>
    <row r="8" spans="1:5" ht="50" customHeight="1">
      <c r="A8" s="6" t="str">
        <v>Kettlebell Swing</v>
      </c>
      <c r="B8" s="6" t="str">
        <v>Lower Body A</v>
      </c>
      <c r="C8" s="23">
        <v>3</v>
      </c>
      <c r="D8" s="23" t="str">
        <v>20</v>
      </c>
      <c r="E8" s="6" t="str">
        <v>https://www.youtube.com/watch?v=zSww9F2ZEW8&amp;t=328s</v>
      </c>
    </row>
    <row r="9" spans="1:5" ht="50" customHeight="1">
      <c r="A9" s="2" t="str">
        <v>Hip Flexor Band Work</v>
      </c>
      <c r="B9" s="2" t="str">
        <v>Lower Body A</v>
      </c>
      <c r="C9" s="16">
        <v>2</v>
      </c>
      <c r="D9" s="16" t="str">
        <v>10-20 reps each side</v>
      </c>
      <c r="E9" s="2" t="str">
        <v>https://www.youtube.com/watch?v=LeBOkz-3vtQ</v>
      </c>
    </row>
    <row r="10" spans="1:5" ht="50" customHeight="1"/>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1"/>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157</v>
      </c>
      <c r="F1" s="3" t="s">
        <v>97</v>
      </c>
    </row>
    <row r="2" spans="1:6">
      <c r="A2" s="2" t="str" cm="1">
        <f t="array" ref="A2:A9">_xlfn._xlws.SORT(_xlfn.UNIQUE(TrainingTable[Category of Training Stimulus]))</f>
        <v>Aerobic Running</v>
      </c>
      <c r="B2" s="2" t="str" cm="1">
        <f t="array" ref="B2:B31">_xlfn._xlws.SORT(_xlfn.UNIQUE(TrainingTable[Training Component]))</f>
        <v>10K Pace Running</v>
      </c>
      <c r="C2" s="2" t="s">
        <v>55</v>
      </c>
      <c r="D2" s="2" t="s">
        <v>67</v>
      </c>
      <c r="E2" s="2" t="str" cm="1">
        <f t="array" ref="E2:E9">_xlfn.UNIQUE(Strength_Core2[Routine])</f>
        <v>Lower Body A</v>
      </c>
      <c r="F2" s="2" t="s">
        <v>100</v>
      </c>
    </row>
    <row r="3" spans="1:6">
      <c r="A3" s="2" t="str">
        <v>Lactate Tolerance</v>
      </c>
      <c r="B3" s="2" t="str">
        <v>1600M Pace Running</v>
      </c>
      <c r="C3" s="2" t="s">
        <v>57</v>
      </c>
      <c r="D3" s="2" t="s">
        <v>66</v>
      </c>
      <c r="E3" s="2" t="str">
        <v>Lower Body B</v>
      </c>
      <c r="F3" s="2" t="s">
        <v>99</v>
      </c>
    </row>
    <row r="4" spans="1:6">
      <c r="A4" s="2" t="str">
        <v>Recovery</v>
      </c>
      <c r="B4" s="2" t="str">
        <v>30M Flys</v>
      </c>
      <c r="C4" s="2" t="s">
        <v>56</v>
      </c>
      <c r="D4" s="2" t="s">
        <v>65</v>
      </c>
      <c r="E4" s="2" t="str">
        <v>Lower Body C</v>
      </c>
      <c r="F4" s="2" t="s">
        <v>101</v>
      </c>
    </row>
    <row r="5" spans="1:6">
      <c r="A5" s="2" t="str">
        <v>Speed Development</v>
      </c>
      <c r="B5" s="2" t="str">
        <v>3K Pace Running</v>
      </c>
      <c r="C5" s="2" t="s">
        <v>58</v>
      </c>
      <c r="D5" s="2" t="s">
        <v>57</v>
      </c>
      <c r="E5" s="2" t="str">
        <v>Lower Body D</v>
      </c>
      <c r="F5" s="2" t="s">
        <v>102</v>
      </c>
    </row>
    <row r="6" spans="1:6">
      <c r="A6" s="2" t="str">
        <v>Stretching and Mobility</v>
      </c>
      <c r="B6" s="2" t="str">
        <v>400M Pace Running</v>
      </c>
      <c r="D6" s="2" t="s">
        <v>63</v>
      </c>
      <c r="E6" s="2" t="str">
        <v>Core A</v>
      </c>
      <c r="F6" s="2" t="s">
        <v>84</v>
      </c>
    </row>
    <row r="7" spans="1:6">
      <c r="A7" s="2" t="str">
        <v>Threshold</v>
      </c>
      <c r="B7" s="2" t="str">
        <v>50M Flys</v>
      </c>
      <c r="D7" s="2" t="s">
        <v>64</v>
      </c>
      <c r="E7" s="2" t="str">
        <v>Core B</v>
      </c>
      <c r="F7" s="2" t="s">
        <v>103</v>
      </c>
    </row>
    <row r="8" spans="1:6">
      <c r="A8" s="2" t="str">
        <v>Turnover and Pace Work</v>
      </c>
      <c r="B8" s="2" t="str">
        <v>5K Pace Running</v>
      </c>
      <c r="D8" s="2" t="s">
        <v>68</v>
      </c>
      <c r="E8" s="2" t="str">
        <v>Core C</v>
      </c>
      <c r="F8" s="2" t="s">
        <v>82</v>
      </c>
    </row>
    <row r="9" spans="1:6">
      <c r="A9" s="2" t="str">
        <v>VO2 Max</v>
      </c>
      <c r="B9" s="2" t="str">
        <v>800M Pace Running</v>
      </c>
      <c r="E9" s="2" t="str">
        <v>Upper Body A</v>
      </c>
    </row>
    <row r="10" spans="1:6">
      <c r="B10" s="2" t="str">
        <v>80M Flys</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Race</v>
      </c>
    </row>
    <row r="20" spans="2:2">
      <c r="B20" s="2" t="str">
        <v>Race Pace (1600M)</v>
      </c>
    </row>
    <row r="21" spans="2:2">
      <c r="B21" s="2" t="str">
        <v>Race Pace (3K)</v>
      </c>
    </row>
    <row r="22" spans="2:2">
      <c r="B22" s="2" t="str">
        <v>Race Pace (5K)</v>
      </c>
    </row>
    <row r="23" spans="2:2">
      <c r="B23" s="2" t="str">
        <v>Race Pace (800M)</v>
      </c>
    </row>
    <row r="24" spans="2:2">
      <c r="B24" s="2" t="str">
        <v>Standing Rest</v>
      </c>
    </row>
    <row r="25" spans="2:2">
      <c r="B25" s="2" t="str">
        <v>Static Stretching</v>
      </c>
    </row>
    <row r="26" spans="2:2">
      <c r="B26" s="2" t="str">
        <v>Strides (Post-Run)</v>
      </c>
    </row>
    <row r="27" spans="2:2">
      <c r="B27" s="2" t="str">
        <v>Strides (Pre-Run)</v>
      </c>
    </row>
    <row r="28" spans="2:2">
      <c r="B28" s="2" t="str">
        <v>Sub-Threshold Running</v>
      </c>
    </row>
    <row r="29" spans="2:2">
      <c r="B29" s="2" t="str">
        <v>Threshold Running</v>
      </c>
    </row>
    <row r="30" spans="2:2">
      <c r="B30" s="2" t="str">
        <v>Walking Rest</v>
      </c>
    </row>
    <row r="31" spans="2:2">
      <c r="B31"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2" zoomScale="160" zoomScaleNormal="160" workbookViewId="0">
      <selection activeCell="C31" sqref="C31"/>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82</v>
      </c>
      <c r="C29" s="14"/>
    </row>
    <row r="30" spans="1:3" ht="35" customHeight="1">
      <c r="A30" s="12" t="s">
        <v>2</v>
      </c>
      <c r="B30" s="13" t="s">
        <v>84</v>
      </c>
      <c r="C30" s="14"/>
    </row>
    <row r="31" spans="1:3" ht="25" customHeight="1">
      <c r="A31" s="12" t="s">
        <v>34</v>
      </c>
      <c r="B31" s="13" t="s">
        <v>202</v>
      </c>
      <c r="C31" s="14"/>
    </row>
    <row r="32" spans="1:3"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topLeftCell="A31" zoomScale="140" zoomScaleNormal="140" workbookViewId="0">
      <selection activeCell="E43" sqref="E43"/>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105</v>
      </c>
      <c r="B1" s="3" t="s">
        <v>106</v>
      </c>
      <c r="C1" s="15" t="s">
        <v>107</v>
      </c>
      <c r="D1" s="72" t="s">
        <v>108</v>
      </c>
      <c r="E1" s="3" t="s">
        <v>13</v>
      </c>
      <c r="F1" s="2"/>
      <c r="G1" s="2"/>
      <c r="H1" s="2"/>
      <c r="I1" s="2"/>
      <c r="J1" s="2"/>
      <c r="K1" s="2"/>
      <c r="L1" s="2"/>
      <c r="M1" s="2"/>
    </row>
    <row r="2" spans="1:13" s="4" customFormat="1" ht="30" customHeight="1">
      <c r="A2" s="2" t="s">
        <v>109</v>
      </c>
      <c r="B2" s="2" t="s">
        <v>8</v>
      </c>
      <c r="C2" s="16">
        <v>3</v>
      </c>
      <c r="D2" s="73" t="s">
        <v>115</v>
      </c>
      <c r="E2" s="78" t="s">
        <v>163</v>
      </c>
      <c r="F2" s="2"/>
      <c r="G2" s="2"/>
      <c r="H2" s="2"/>
      <c r="I2" s="2"/>
      <c r="J2" s="2"/>
      <c r="K2" s="2"/>
      <c r="L2" s="2"/>
      <c r="M2" s="2"/>
    </row>
    <row r="3" spans="1:13" s="4" customFormat="1" ht="30" customHeight="1">
      <c r="A3" s="2" t="s">
        <v>111</v>
      </c>
      <c r="B3" s="2" t="s">
        <v>8</v>
      </c>
      <c r="C3" s="16">
        <v>3</v>
      </c>
      <c r="D3" s="73" t="s">
        <v>110</v>
      </c>
      <c r="E3" s="78" t="s">
        <v>164</v>
      </c>
      <c r="F3" s="2"/>
      <c r="G3" s="2"/>
      <c r="H3" s="2"/>
      <c r="I3" s="2"/>
      <c r="J3" s="2"/>
      <c r="K3" s="2"/>
      <c r="L3" s="2"/>
      <c r="M3" s="2"/>
    </row>
    <row r="4" spans="1:13" s="4" customFormat="1" ht="30" customHeight="1">
      <c r="A4" s="2" t="s">
        <v>112</v>
      </c>
      <c r="B4" s="2" t="s">
        <v>8</v>
      </c>
      <c r="C4" s="16">
        <v>2</v>
      </c>
      <c r="D4" s="73" t="s">
        <v>110</v>
      </c>
      <c r="E4" s="78" t="s">
        <v>165</v>
      </c>
      <c r="F4" s="2"/>
      <c r="G4" s="2"/>
      <c r="H4" s="2"/>
      <c r="I4" s="2"/>
      <c r="J4" s="2"/>
      <c r="K4" s="2"/>
      <c r="L4" s="2"/>
      <c r="M4" s="2"/>
    </row>
    <row r="5" spans="1:13" s="4" customFormat="1" ht="30" customHeight="1">
      <c r="A5" s="2" t="s">
        <v>113</v>
      </c>
      <c r="B5" s="2" t="s">
        <v>8</v>
      </c>
      <c r="C5" s="16">
        <v>2</v>
      </c>
      <c r="D5" s="73" t="s">
        <v>114</v>
      </c>
      <c r="E5" s="78" t="s">
        <v>166</v>
      </c>
      <c r="F5" s="2"/>
      <c r="G5" s="2"/>
      <c r="H5" s="2"/>
      <c r="I5" s="2"/>
      <c r="J5" s="2"/>
      <c r="K5" s="2"/>
      <c r="L5" s="2"/>
      <c r="M5" s="2"/>
    </row>
    <row r="6" spans="1:13" s="4" customFormat="1" ht="30" customHeight="1">
      <c r="A6" s="2" t="s">
        <v>116</v>
      </c>
      <c r="B6" s="2" t="s">
        <v>8</v>
      </c>
      <c r="C6" s="16">
        <v>3</v>
      </c>
      <c r="D6" s="73" t="s">
        <v>117</v>
      </c>
      <c r="E6" s="77" t="s">
        <v>167</v>
      </c>
      <c r="F6" s="2"/>
      <c r="G6" s="2"/>
      <c r="H6" s="2"/>
      <c r="I6" s="2"/>
      <c r="J6" s="2"/>
      <c r="K6" s="2"/>
      <c r="L6" s="2"/>
      <c r="M6" s="2"/>
    </row>
    <row r="7" spans="1:13" s="4" customFormat="1" ht="30" customHeight="1">
      <c r="A7" s="2" t="s">
        <v>118</v>
      </c>
      <c r="B7" s="2" t="s">
        <v>9</v>
      </c>
      <c r="C7" s="16">
        <v>3</v>
      </c>
      <c r="D7" s="73" t="s">
        <v>119</v>
      </c>
      <c r="E7" s="77" t="s">
        <v>168</v>
      </c>
      <c r="F7" s="2"/>
      <c r="G7" s="2"/>
      <c r="H7" s="2"/>
      <c r="I7" s="2"/>
      <c r="J7" s="2"/>
      <c r="K7" s="2"/>
      <c r="L7" s="2"/>
      <c r="M7" s="2"/>
    </row>
    <row r="8" spans="1:13" s="4" customFormat="1" ht="30" customHeight="1">
      <c r="A8" s="2" t="s">
        <v>120</v>
      </c>
      <c r="B8" s="2" t="s">
        <v>9</v>
      </c>
      <c r="C8" s="16">
        <v>3</v>
      </c>
      <c r="D8" s="73" t="s">
        <v>121</v>
      </c>
      <c r="E8" s="77" t="s">
        <v>169</v>
      </c>
      <c r="F8" s="2"/>
      <c r="G8" s="2"/>
      <c r="H8" s="2"/>
      <c r="I8" s="2"/>
      <c r="J8" s="2"/>
      <c r="K8" s="2"/>
      <c r="L8" s="2"/>
      <c r="M8" s="2"/>
    </row>
    <row r="9" spans="1:13" s="4" customFormat="1" ht="30" customHeight="1">
      <c r="A9" s="2" t="s">
        <v>170</v>
      </c>
      <c r="B9" s="2" t="s">
        <v>9</v>
      </c>
      <c r="C9" s="16">
        <v>2</v>
      </c>
      <c r="D9" s="73" t="s">
        <v>122</v>
      </c>
      <c r="E9" s="78" t="s">
        <v>172</v>
      </c>
      <c r="F9" s="2"/>
      <c r="G9" s="2"/>
      <c r="H9" s="2"/>
      <c r="I9" s="2"/>
      <c r="J9" s="2"/>
      <c r="K9" s="2"/>
      <c r="L9" s="2"/>
      <c r="M9" s="2"/>
    </row>
    <row r="10" spans="1:13" s="4" customFormat="1" ht="30" customHeight="1">
      <c r="A10" s="2" t="s">
        <v>123</v>
      </c>
      <c r="B10" s="2" t="s">
        <v>9</v>
      </c>
      <c r="C10" s="16">
        <v>3</v>
      </c>
      <c r="D10" s="73" t="s">
        <v>114</v>
      </c>
      <c r="E10" s="78" t="s">
        <v>173</v>
      </c>
      <c r="F10" s="2"/>
      <c r="G10" s="2"/>
      <c r="H10" s="2"/>
      <c r="I10" s="2"/>
      <c r="J10" s="2"/>
      <c r="K10" s="2"/>
      <c r="L10" s="2"/>
      <c r="M10" s="2"/>
    </row>
    <row r="11" spans="1:13" s="4" customFormat="1" ht="30" customHeight="1">
      <c r="A11" s="2" t="s">
        <v>124</v>
      </c>
      <c r="B11" s="2" t="s">
        <v>9</v>
      </c>
      <c r="C11" s="16">
        <v>3</v>
      </c>
      <c r="D11" s="73" t="s">
        <v>114</v>
      </c>
      <c r="E11" s="78" t="s">
        <v>174</v>
      </c>
      <c r="F11" s="2"/>
      <c r="G11" s="2"/>
      <c r="H11" s="2"/>
      <c r="I11" s="2"/>
      <c r="J11" s="2"/>
      <c r="K11" s="2"/>
      <c r="L11" s="2"/>
      <c r="M11" s="2"/>
    </row>
    <row r="12" spans="1:13" s="4" customFormat="1" ht="30" customHeight="1">
      <c r="A12" s="2" t="s">
        <v>125</v>
      </c>
      <c r="B12" s="2" t="s">
        <v>126</v>
      </c>
      <c r="C12" s="16">
        <v>2</v>
      </c>
      <c r="D12" s="73" t="s">
        <v>129</v>
      </c>
      <c r="E12" s="78" t="s">
        <v>175</v>
      </c>
      <c r="F12" s="2"/>
      <c r="G12" s="2"/>
      <c r="H12" s="2"/>
      <c r="I12" s="2"/>
      <c r="J12" s="2"/>
      <c r="K12" s="2"/>
      <c r="L12" s="2"/>
      <c r="M12" s="2"/>
    </row>
    <row r="13" spans="1:13" s="4" customFormat="1" ht="30" customHeight="1">
      <c r="A13" s="2" t="s">
        <v>127</v>
      </c>
      <c r="B13" s="2" t="s">
        <v>126</v>
      </c>
      <c r="C13" s="16">
        <v>2</v>
      </c>
      <c r="D13" s="73" t="s">
        <v>130</v>
      </c>
      <c r="E13" s="78" t="s">
        <v>176</v>
      </c>
      <c r="F13" s="2"/>
      <c r="G13" s="2"/>
      <c r="H13" s="2"/>
      <c r="I13" s="2"/>
      <c r="J13" s="2"/>
      <c r="K13" s="2"/>
      <c r="L13" s="2"/>
      <c r="M13" s="2"/>
    </row>
    <row r="14" spans="1:13" s="4" customFormat="1" ht="30" customHeight="1">
      <c r="A14" s="2" t="s">
        <v>128</v>
      </c>
      <c r="B14" s="2" t="s">
        <v>126</v>
      </c>
      <c r="C14" s="16">
        <v>2</v>
      </c>
      <c r="D14" s="73" t="s">
        <v>129</v>
      </c>
      <c r="E14" s="2"/>
      <c r="F14" s="2"/>
      <c r="G14" s="2"/>
      <c r="H14" s="2"/>
      <c r="I14" s="2"/>
      <c r="J14" s="2"/>
      <c r="K14" s="2"/>
      <c r="L14" s="2"/>
      <c r="M14" s="2"/>
    </row>
    <row r="15" spans="1:13" s="4" customFormat="1" ht="30" customHeight="1">
      <c r="A15" s="2" t="s">
        <v>131</v>
      </c>
      <c r="B15" s="2" t="s">
        <v>126</v>
      </c>
      <c r="C15" s="16">
        <v>2</v>
      </c>
      <c r="D15" s="73" t="s">
        <v>132</v>
      </c>
      <c r="E15" s="2"/>
      <c r="F15" s="2"/>
      <c r="G15" s="2"/>
      <c r="H15" s="2"/>
      <c r="I15" s="2"/>
      <c r="J15" s="2"/>
      <c r="K15" s="2"/>
      <c r="L15" s="2"/>
      <c r="M15" s="2"/>
    </row>
    <row r="16" spans="1:13" s="4" customFormat="1" ht="30" customHeight="1">
      <c r="A16" s="2" t="s">
        <v>133</v>
      </c>
      <c r="B16" s="2" t="s">
        <v>126</v>
      </c>
      <c r="C16" s="16">
        <v>2</v>
      </c>
      <c r="D16" s="73" t="s">
        <v>121</v>
      </c>
      <c r="E16" s="2"/>
      <c r="F16" s="2"/>
      <c r="G16" s="2"/>
      <c r="H16" s="2"/>
      <c r="I16" s="2"/>
      <c r="J16" s="2"/>
      <c r="K16" s="2"/>
      <c r="L16" s="2"/>
      <c r="M16" s="2"/>
    </row>
    <row r="17" spans="1:13" s="4" customFormat="1" ht="30" customHeight="1">
      <c r="A17" s="2" t="s">
        <v>134</v>
      </c>
      <c r="B17" s="2" t="s">
        <v>135</v>
      </c>
      <c r="C17" s="16">
        <v>2</v>
      </c>
      <c r="D17" s="73" t="s">
        <v>117</v>
      </c>
      <c r="E17" s="2"/>
      <c r="F17" s="2"/>
      <c r="G17" s="2"/>
      <c r="H17" s="2"/>
      <c r="I17" s="2"/>
      <c r="J17" s="2"/>
      <c r="K17" s="2"/>
      <c r="L17" s="2"/>
      <c r="M17" s="2"/>
    </row>
    <row r="18" spans="1:13" s="4" customFormat="1" ht="30" customHeight="1">
      <c r="A18" s="2" t="s">
        <v>136</v>
      </c>
      <c r="B18" s="2" t="s">
        <v>135</v>
      </c>
      <c r="C18" s="16">
        <v>2</v>
      </c>
      <c r="D18" s="73" t="s">
        <v>110</v>
      </c>
      <c r="E18" s="2"/>
      <c r="F18" s="2"/>
      <c r="G18" s="2"/>
      <c r="H18" s="2"/>
      <c r="I18" s="2"/>
      <c r="J18" s="2"/>
      <c r="K18" s="2"/>
      <c r="L18" s="2"/>
      <c r="M18" s="2"/>
    </row>
    <row r="19" spans="1:13" s="4" customFormat="1" ht="30" customHeight="1">
      <c r="A19" s="2" t="s">
        <v>141</v>
      </c>
      <c r="B19" s="2" t="s">
        <v>135</v>
      </c>
      <c r="C19" s="16">
        <v>2</v>
      </c>
      <c r="D19" s="73" t="s">
        <v>129</v>
      </c>
      <c r="E19" s="2"/>
      <c r="F19" s="2"/>
      <c r="G19" s="2"/>
      <c r="H19" s="2"/>
      <c r="I19" s="2"/>
      <c r="J19" s="2"/>
      <c r="K19" s="2"/>
      <c r="L19" s="2"/>
      <c r="M19" s="2"/>
    </row>
    <row r="20" spans="1:13" s="4" customFormat="1" ht="30" customHeight="1">
      <c r="A20" s="2" t="s">
        <v>137</v>
      </c>
      <c r="B20" s="2" t="s">
        <v>135</v>
      </c>
      <c r="C20" s="16">
        <v>2</v>
      </c>
      <c r="D20" s="73" t="s">
        <v>140</v>
      </c>
      <c r="E20" s="2"/>
      <c r="F20" s="2"/>
      <c r="G20" s="2"/>
      <c r="H20" s="2"/>
      <c r="I20" s="2"/>
      <c r="J20" s="2"/>
      <c r="K20" s="2"/>
      <c r="L20" s="2"/>
      <c r="M20" s="2"/>
    </row>
    <row r="21" spans="1:13" s="4" customFormat="1" ht="30" customHeight="1">
      <c r="A21" s="2" t="s">
        <v>138</v>
      </c>
      <c r="B21" s="2" t="s">
        <v>135</v>
      </c>
      <c r="C21" s="16">
        <v>2</v>
      </c>
      <c r="D21" s="73" t="s">
        <v>139</v>
      </c>
      <c r="E21" s="2"/>
      <c r="F21" s="2"/>
      <c r="G21" s="2"/>
      <c r="H21" s="2"/>
      <c r="I21" s="2"/>
      <c r="J21" s="2"/>
      <c r="K21" s="2"/>
      <c r="L21" s="2"/>
      <c r="M21" s="2"/>
    </row>
    <row r="22" spans="1:13" s="4" customFormat="1" ht="30" customHeight="1">
      <c r="A22" s="2" t="s">
        <v>142</v>
      </c>
      <c r="B22" s="2" t="s">
        <v>4</v>
      </c>
      <c r="C22" s="16">
        <v>1</v>
      </c>
      <c r="D22" s="73" t="s">
        <v>117</v>
      </c>
      <c r="E22" s="2"/>
      <c r="F22" s="2"/>
      <c r="G22" s="2"/>
      <c r="H22" s="2"/>
      <c r="I22" s="2"/>
      <c r="J22" s="2"/>
      <c r="K22" s="2"/>
      <c r="L22" s="2"/>
      <c r="M22" s="2"/>
    </row>
    <row r="23" spans="1:13" s="4" customFormat="1" ht="30" customHeight="1">
      <c r="A23" s="2" t="s">
        <v>143</v>
      </c>
      <c r="B23" s="2" t="s">
        <v>4</v>
      </c>
      <c r="C23" s="16">
        <v>1</v>
      </c>
      <c r="D23" s="73" t="s">
        <v>144</v>
      </c>
      <c r="E23" s="2"/>
      <c r="F23" s="2"/>
      <c r="G23" s="2"/>
      <c r="H23" s="2"/>
      <c r="I23" s="2"/>
      <c r="J23" s="2"/>
      <c r="K23" s="2"/>
      <c r="L23" s="2"/>
      <c r="M23" s="2"/>
    </row>
    <row r="24" spans="1:13" s="4" customFormat="1" ht="30" customHeight="1">
      <c r="A24" s="2" t="s">
        <v>145</v>
      </c>
      <c r="B24" s="2" t="s">
        <v>4</v>
      </c>
      <c r="C24" s="16">
        <v>1</v>
      </c>
      <c r="D24" s="73" t="s">
        <v>146</v>
      </c>
      <c r="E24" s="2"/>
      <c r="F24" s="2"/>
      <c r="G24" s="2"/>
      <c r="H24" s="2"/>
      <c r="I24" s="2"/>
      <c r="J24" s="2"/>
      <c r="K24" s="2"/>
      <c r="L24" s="2"/>
      <c r="M24" s="2"/>
    </row>
    <row r="25" spans="1:13" s="4" customFormat="1" ht="30" customHeight="1">
      <c r="A25" s="2" t="s">
        <v>147</v>
      </c>
      <c r="B25" s="2" t="s">
        <v>4</v>
      </c>
      <c r="C25" s="16">
        <v>1</v>
      </c>
      <c r="D25" s="73" t="s">
        <v>117</v>
      </c>
      <c r="E25" s="2"/>
      <c r="F25" s="2"/>
      <c r="G25" s="2"/>
      <c r="H25" s="2"/>
      <c r="I25" s="2"/>
      <c r="J25" s="2"/>
      <c r="K25" s="2"/>
      <c r="L25" s="2"/>
      <c r="M25" s="2"/>
    </row>
    <row r="26" spans="1:13" s="4" customFormat="1" ht="30" customHeight="1">
      <c r="A26" s="2" t="s">
        <v>148</v>
      </c>
      <c r="B26" s="2" t="s">
        <v>4</v>
      </c>
      <c r="C26" s="16">
        <v>1</v>
      </c>
      <c r="D26" s="73" t="s">
        <v>149</v>
      </c>
      <c r="E26" s="2"/>
      <c r="F26" s="2"/>
      <c r="G26" s="2"/>
      <c r="H26" s="2"/>
      <c r="I26" s="2"/>
      <c r="J26" s="2"/>
      <c r="K26" s="2"/>
      <c r="L26" s="2"/>
      <c r="M26" s="2"/>
    </row>
    <row r="27" spans="1:13" s="4" customFormat="1" ht="30" customHeight="1">
      <c r="A27" s="2" t="s">
        <v>150</v>
      </c>
      <c r="B27" s="2" t="s">
        <v>5</v>
      </c>
      <c r="C27" s="16">
        <v>1</v>
      </c>
      <c r="D27" s="73" t="s">
        <v>117</v>
      </c>
      <c r="E27" s="2"/>
      <c r="F27" s="2"/>
      <c r="G27" s="2"/>
      <c r="H27" s="2"/>
      <c r="I27" s="2"/>
      <c r="J27" s="2"/>
      <c r="K27" s="2"/>
      <c r="L27" s="2"/>
      <c r="M27" s="2"/>
    </row>
    <row r="28" spans="1:13" s="4" customFormat="1" ht="30" customHeight="1">
      <c r="A28" s="2" t="s">
        <v>151</v>
      </c>
      <c r="B28" s="2" t="s">
        <v>5</v>
      </c>
      <c r="C28" s="16">
        <v>1</v>
      </c>
      <c r="D28" s="73" t="s">
        <v>117</v>
      </c>
      <c r="E28" s="2"/>
      <c r="F28" s="2"/>
      <c r="G28" s="2"/>
      <c r="H28" s="2"/>
      <c r="I28" s="2"/>
      <c r="J28" s="2"/>
      <c r="K28" s="2"/>
      <c r="L28" s="2"/>
      <c r="M28" s="2"/>
    </row>
    <row r="29" spans="1:13" s="4" customFormat="1" ht="30" customHeight="1">
      <c r="A29" s="2" t="s">
        <v>152</v>
      </c>
      <c r="B29" s="2" t="s">
        <v>5</v>
      </c>
      <c r="C29" s="16">
        <v>1</v>
      </c>
      <c r="D29" s="73" t="s">
        <v>153</v>
      </c>
      <c r="E29" s="2"/>
      <c r="F29" s="2"/>
      <c r="G29" s="2"/>
      <c r="H29" s="2"/>
      <c r="I29" s="2"/>
      <c r="J29" s="2"/>
      <c r="K29" s="2"/>
      <c r="L29" s="2"/>
      <c r="M29" s="2"/>
    </row>
    <row r="30" spans="1:13" s="4" customFormat="1" ht="30" customHeight="1">
      <c r="A30" s="2" t="s">
        <v>145</v>
      </c>
      <c r="B30" s="2" t="s">
        <v>5</v>
      </c>
      <c r="C30" s="16">
        <v>1</v>
      </c>
      <c r="D30" s="73" t="s">
        <v>146</v>
      </c>
      <c r="E30" s="2"/>
      <c r="F30" s="2"/>
      <c r="G30" s="2"/>
      <c r="H30" s="2"/>
      <c r="I30" s="2"/>
      <c r="J30" s="2"/>
      <c r="K30" s="2"/>
      <c r="L30" s="2"/>
      <c r="M30" s="2"/>
    </row>
    <row r="31" spans="1:13" s="4" customFormat="1" ht="30" customHeight="1">
      <c r="A31" s="2" t="s">
        <v>154</v>
      </c>
      <c r="B31" s="2" t="s">
        <v>5</v>
      </c>
      <c r="C31" s="16">
        <v>1</v>
      </c>
      <c r="D31" s="73" t="s">
        <v>155</v>
      </c>
      <c r="E31" s="2"/>
      <c r="F31" s="2"/>
      <c r="G31" s="2"/>
      <c r="H31" s="2"/>
      <c r="I31" s="2"/>
      <c r="J31" s="2"/>
      <c r="K31" s="2"/>
      <c r="L31" s="2"/>
      <c r="M31" s="2"/>
    </row>
    <row r="32" spans="1:13" s="4" customFormat="1" ht="30" customHeight="1">
      <c r="A32" s="2" t="s">
        <v>142</v>
      </c>
      <c r="B32" s="2" t="s">
        <v>6</v>
      </c>
      <c r="C32" s="16">
        <v>1</v>
      </c>
      <c r="D32" s="73" t="s">
        <v>117</v>
      </c>
      <c r="E32" s="2"/>
      <c r="F32" s="2"/>
      <c r="G32" s="2"/>
      <c r="H32" s="2"/>
      <c r="I32" s="2"/>
      <c r="J32" s="2"/>
      <c r="K32" s="2"/>
      <c r="L32" s="2"/>
      <c r="M32" s="2"/>
    </row>
    <row r="33" spans="1:13" s="4" customFormat="1" ht="30" customHeight="1">
      <c r="A33" s="2" t="s">
        <v>151</v>
      </c>
      <c r="B33" s="2" t="s">
        <v>6</v>
      </c>
      <c r="C33" s="16">
        <v>1</v>
      </c>
      <c r="D33" s="73" t="s">
        <v>117</v>
      </c>
      <c r="E33" s="2"/>
      <c r="F33" s="2"/>
      <c r="G33" s="2"/>
      <c r="H33" s="2"/>
      <c r="I33" s="2"/>
      <c r="J33" s="2"/>
      <c r="K33" s="2"/>
      <c r="L33" s="2"/>
      <c r="M33" s="2"/>
    </row>
    <row r="34" spans="1:13" s="4" customFormat="1" ht="30" customHeight="1">
      <c r="A34" s="2" t="s">
        <v>147</v>
      </c>
      <c r="B34" s="2" t="s">
        <v>6</v>
      </c>
      <c r="C34" s="16">
        <v>1</v>
      </c>
      <c r="D34" s="73" t="s">
        <v>117</v>
      </c>
      <c r="E34" s="2"/>
      <c r="F34" s="2"/>
      <c r="G34" s="2"/>
      <c r="H34" s="2"/>
      <c r="I34" s="2"/>
      <c r="J34" s="2"/>
      <c r="K34" s="2"/>
      <c r="L34" s="2"/>
      <c r="M34" s="2"/>
    </row>
    <row r="35" spans="1:13" s="4" customFormat="1" ht="30" customHeight="1">
      <c r="A35" s="2" t="s">
        <v>148</v>
      </c>
      <c r="B35" s="2" t="s">
        <v>6</v>
      </c>
      <c r="C35" s="16">
        <v>1</v>
      </c>
      <c r="D35" s="73" t="s">
        <v>149</v>
      </c>
      <c r="E35" s="2"/>
      <c r="F35" s="2"/>
      <c r="G35" s="2"/>
      <c r="H35" s="2"/>
      <c r="I35" s="2"/>
      <c r="J35" s="2"/>
      <c r="K35" s="2"/>
      <c r="L35" s="2"/>
      <c r="M35" s="2"/>
    </row>
    <row r="36" spans="1:13" s="4" customFormat="1" ht="30" customHeight="1">
      <c r="A36" s="2" t="s">
        <v>156</v>
      </c>
      <c r="B36" s="2" t="s">
        <v>6</v>
      </c>
      <c r="C36" s="16">
        <v>1</v>
      </c>
      <c r="D36" s="73" t="s">
        <v>117</v>
      </c>
      <c r="E36" s="2"/>
      <c r="F36" s="2"/>
      <c r="G36" s="2"/>
      <c r="H36" s="2"/>
      <c r="I36" s="2"/>
      <c r="J36" s="2"/>
      <c r="K36" s="2"/>
      <c r="L36" s="2"/>
      <c r="M36" s="2"/>
    </row>
    <row r="37" spans="1:13" s="4" customFormat="1" ht="30" customHeight="1">
      <c r="A37" s="2" t="s">
        <v>179</v>
      </c>
      <c r="B37" s="2" t="s">
        <v>7</v>
      </c>
      <c r="C37" s="16">
        <v>2</v>
      </c>
      <c r="D37" s="73" t="s">
        <v>181</v>
      </c>
      <c r="E37" s="2"/>
      <c r="F37" s="2"/>
      <c r="G37" s="2"/>
      <c r="H37" s="2"/>
      <c r="I37" s="2"/>
      <c r="J37" s="2"/>
      <c r="K37" s="2"/>
      <c r="L37" s="2"/>
      <c r="M37" s="2"/>
    </row>
    <row r="38" spans="1:13" s="4" customFormat="1" ht="30" customHeight="1">
      <c r="A38" s="2" t="s">
        <v>180</v>
      </c>
      <c r="B38" s="2" t="s">
        <v>7</v>
      </c>
      <c r="C38" s="16">
        <v>2</v>
      </c>
      <c r="D38" s="73" t="s">
        <v>181</v>
      </c>
      <c r="E38" s="2"/>
      <c r="F38" s="2"/>
      <c r="G38" s="2"/>
      <c r="H38" s="2"/>
      <c r="I38" s="2"/>
      <c r="J38" s="2"/>
      <c r="K38" s="2"/>
      <c r="L38" s="2"/>
      <c r="M38" s="2"/>
    </row>
    <row r="39" spans="1:13" s="4" customFormat="1" ht="30" customHeight="1">
      <c r="A39" s="2" t="s">
        <v>182</v>
      </c>
      <c r="B39" s="2" t="s">
        <v>7</v>
      </c>
      <c r="C39" s="16">
        <v>2</v>
      </c>
      <c r="D39" s="73" t="s">
        <v>181</v>
      </c>
      <c r="E39" s="2"/>
      <c r="F39" s="2"/>
      <c r="G39" s="2"/>
      <c r="H39" s="2"/>
      <c r="I39" s="2"/>
      <c r="J39" s="2"/>
      <c r="K39" s="2"/>
      <c r="L39" s="2"/>
      <c r="M39" s="2"/>
    </row>
    <row r="40" spans="1:13" s="4" customFormat="1" ht="30" customHeight="1">
      <c r="A40" s="2" t="s">
        <v>183</v>
      </c>
      <c r="B40" s="2" t="s">
        <v>7</v>
      </c>
      <c r="C40" s="16">
        <v>2</v>
      </c>
      <c r="D40" s="73" t="s">
        <v>181</v>
      </c>
      <c r="E40" s="2"/>
      <c r="F40" s="2"/>
      <c r="G40" s="2"/>
      <c r="H40" s="2"/>
      <c r="I40" s="2"/>
      <c r="J40" s="2"/>
      <c r="K40" s="2"/>
      <c r="L40" s="2"/>
      <c r="M40" s="2"/>
    </row>
    <row r="41" spans="1:13" s="4" customFormat="1" ht="30" customHeight="1">
      <c r="A41" s="2" t="s">
        <v>213</v>
      </c>
      <c r="B41" s="2" t="s">
        <v>8</v>
      </c>
      <c r="C41" s="16">
        <v>2</v>
      </c>
      <c r="D41" s="73" t="s">
        <v>214</v>
      </c>
      <c r="E41" s="2" t="s">
        <v>215</v>
      </c>
      <c r="F41" s="2"/>
      <c r="G41" s="2"/>
      <c r="H41" s="2"/>
      <c r="I41" s="2"/>
      <c r="J41" s="2"/>
      <c r="K41" s="2"/>
      <c r="L41" s="2"/>
      <c r="M41" s="2"/>
    </row>
    <row r="42" spans="1:13" s="4" customFormat="1" ht="30" customHeight="1">
      <c r="A42" s="2" t="s">
        <v>213</v>
      </c>
      <c r="B42" s="2" t="s">
        <v>126</v>
      </c>
      <c r="C42" s="16">
        <v>2</v>
      </c>
      <c r="D42" s="73" t="s">
        <v>214</v>
      </c>
      <c r="E42" s="2" t="s">
        <v>215</v>
      </c>
      <c r="F42" s="2"/>
      <c r="G42" s="2"/>
      <c r="H42" s="2"/>
      <c r="I42" s="2"/>
      <c r="J42" s="2"/>
      <c r="K42" s="2"/>
      <c r="L42" s="2"/>
      <c r="M42" s="2"/>
    </row>
    <row r="43" spans="1:13" s="4" customFormat="1" ht="30" customHeight="1">
      <c r="A43" s="2"/>
      <c r="B43" s="2"/>
      <c r="C43" s="16"/>
      <c r="D43" s="73"/>
      <c r="E43" s="2"/>
      <c r="F43" s="2"/>
      <c r="G43" s="2"/>
      <c r="H43" s="2"/>
      <c r="I43" s="2"/>
      <c r="J43" s="2"/>
      <c r="K43" s="2"/>
      <c r="L43" s="2"/>
      <c r="M43" s="2"/>
    </row>
    <row r="44" spans="1:13" s="4" customFormat="1" ht="30" customHeight="1">
      <c r="A44" s="2"/>
      <c r="B44" s="2"/>
      <c r="C44" s="16"/>
      <c r="D44" s="73"/>
      <c r="E44" s="2"/>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2025-02-23T01:23:26Z</dcterms:modified>
</cp:coreProperties>
</file>