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91027D66-B000-0045-99B5-1A2913179158}" xr6:coauthVersionLast="47" xr6:coauthVersionMax="47" xr10:uidLastSave="{00000000-0000-0000-0000-000000000000}"/>
  <bookViews>
    <workbookView xWindow="0" yWindow="760" windowWidth="30240" windowHeight="17380" activeTab="1"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Table'!$A$1:$E$42</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a="1"/>
  <c r="A4" i="11" s="1"/>
  <c r="E2" i="9" a="1"/>
  <c r="E2" i="9" s="1"/>
  <c r="I8" i="1"/>
  <c r="B26" i="7"/>
  <c r="B25" i="7"/>
  <c r="B24" i="7"/>
  <c r="B23" i="7"/>
  <c r="B22" i="7"/>
  <c r="B21" i="7"/>
  <c r="B20" i="7"/>
  <c r="B19" i="7"/>
  <c r="B18" i="7"/>
  <c r="B17" i="7"/>
  <c r="B16" i="7"/>
  <c r="B15" i="7"/>
  <c r="B14" i="7"/>
  <c r="B13" i="7"/>
  <c r="B12" i="7"/>
  <c r="B11" i="7"/>
  <c r="B10" i="7"/>
  <c r="B9" i="7"/>
  <c r="B8" i="7"/>
  <c r="B7"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<sst xmlns="http://schemas.openxmlformats.org/spreadsheetml/2006/main" count="677" uniqueCount="214">
  <si>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</si>
  <si>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</si>
  <si>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</si>
  <si>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</si>
  <si>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</si>
  <si>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</si>
  <si>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</si>
  <si>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</si>
  <si>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</si>
  <si>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</si>
  <si>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</si>
  <si>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</si>
  <si>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</si>
  <si>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</si>
  <si>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</si>
  <si>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</si>
  <si>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</si>
  <si>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</si>
  <si>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</si>
  <si>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</si>
  <si>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</si>
  <si>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</si>
  <si>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</si>
  <si>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</si>
  <si>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</si>
  <si>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</si>
  <si>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</si>
  <si>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</si>
  <si>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</si>
  <si>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</si>
  <si>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</si>
  <si>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</si>
  <si>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</si>
  <si>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</si>
  <si>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</si>
  <si>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</si>
  <si>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</si>
  <si>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</si>
  <si>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</si>
  <si>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</si>
  <si>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</si>
  <si>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</si>
  <si>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</si>
  <si>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</si>
  <si>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</si>
  <si>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</si>
  <si>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</si>
  <si>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</si>
  <si>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</si>
  <si>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</si>
  <si>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</si>
  <si>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</si>
  <si>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</si>
  <si>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</si>
  <si>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</si>
  <si>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</si>
  <si>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</si>
  <si>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</si>
  <si>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</si>
  <si>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</si>
  <si>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</si>
  <si>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</si>
  <si>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</si>
  <si>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</si>
  <si>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</si>
  <si>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</si>
  <si>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</si>
  <si>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</si>
  <si>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</si>
  <si>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</si>
  <si>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</si>
  <si>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</si>
  <si>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</si>
  <si>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</si>
  <si>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</si>
  <si>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</si>
  <si>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</si>
  <si>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</si>
  <si>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</si>
  <si>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</si>
  <si>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</si>
  <si>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</si>
  <si>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</si>
  <si>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</si>
  <si>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</si>
  <si>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</si>
  <si>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</si>
  <si>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</si>
  <si>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</si>
  <si>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</si>
  <si>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</si>
  <si>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</si>
  <si>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</si>
  <si>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</si>
  <si>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</si>
  <si>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</si>
  <si>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</si>
  <si>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</si>
  <si>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</si>
  <si>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</si>
  <si>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</si>
  <si>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</si>
  <si>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</si>
  <si>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</si>
  <si>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</si>
  <si>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</si>
  <si>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</si>
  <si>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</si>
  <si>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</si>
  <si>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</si>
  <si>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</si>
  <si>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</si>
  <si>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</si>
  <si>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</si>
  <si>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</si>
  <si>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</si>
  <si>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</si>
  <si>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</si>
  <si>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</si>
  <si>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</si>
  <si>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</si>
  <si>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</si>
  <si>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</si>
  <si>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</si>
  <si>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</si>
  <si>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</si>
  <si>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</si>
  <si>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</si>
  <si>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</si>
  <si>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</si>
  <si>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</si>
  <si>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</si>
  <si>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</si>
  <si>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</si>
  <si>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</si>
  <si>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</si>
  <si>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</si>
  <si>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</si>
  <si>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</si>
  <si>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</si>
  <si>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</si>
  <si>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</si>
  <si>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</si>
  <si>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</si>
  <si>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</si>
  <si>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</si>
  <si>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</si>
  <si>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</si>
  <si>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</si>
  <si>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</si>
  <si>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</si>
  <si>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</si>
  <si>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</si>
  <si>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</si>
  <si>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</si>
  <si>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</si>
  <si>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</si>
  <si>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</si>
  <si>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</si>
  <si>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</si>
  <si>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</si>
  <si>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</si>
  <si>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</si>
  <si>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</si>
  <si>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</si>
  <si>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</si>
  <si>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</si>
  <si>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</si>
  <si>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</si>
  <si>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</si>
  <si>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</si>
  <si>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</si>
  <si>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</si>
  <si>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</si>
  <si>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</si>
  <si>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</si>
  <si>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</si>
  <si>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5-15 minute easy cool down.</t>
  </si>
  <si>
    <t>Short warmup (800-1200M)</t>
  </si>
  <si>
    <t>Choose ~5 dynamic drills and complete with good form and intention. Finish with leg swings.</t>
  </si>
  <si>
    <t>2x 100M strides, in preparation for the flying 30s.</t>
  </si>
  <si>
    <t>Change into spikes in preparation for the flying 30s.</t>
  </si>
  <si>
    <t>4x 30M flys, run at 100% relaxed effort. Focus on sprint form, building maximum speed. Full recovery between each rep.</t>
  </si>
  <si>
    <t>Change into workout shoes for threshold reps.</t>
  </si>
  <si>
    <t>Change into spikes in preparation for 150s.</t>
  </si>
  <si>
    <t>4-6 150M @ goal 1600M pace. Walk/jog 250M recovery then wait until breathing has normalized before starting next rep.</t>
  </si>
  <si>
    <t>Change into trainers for cool down.</t>
  </si>
  <si>
    <t>Standard hurdle mobility work.</t>
  </si>
  <si>
    <t>30-60 minute easy run.</t>
  </si>
  <si>
    <t>Standard hudle mobility drills.</t>
  </si>
  <si>
    <t>Hill Sprints</t>
  </si>
  <si>
    <t>6x 10-15 second hill sprints. Full recovery. Hill should be a little steeper. No longer than 15 seconds. You should just be starting to feel tired when you stop. You want full engagement of your muscles. It's important that we get these in. These are the hill work we do now.</t>
  </si>
  <si>
    <t>Hip Flexor Band Work</t>
  </si>
  <si>
    <t>10-20 reps each side</t>
  </si>
  <si>
    <t>https://www.youtube.com/watch?v=LeBOkz-3vtQ</t>
  </si>
  <si>
    <t>3-6x 5' @ Threshold, 90 second standing recovery in between reps.</t>
  </si>
  <si>
    <t>4-6x 100M…these are like Tueller's 4x100s…take them nice and easy.</t>
  </si>
  <si>
    <t>Pre-Race 200M Gear Changes</t>
  </si>
  <si>
    <t>Pre-Race 100M Step Downs</t>
  </si>
  <si>
    <t>Choose 5 dynamic drills and complete. Finish with leg swings</t>
  </si>
  <si>
    <t>Gentle 4x100Ms to flush out the legs.</t>
  </si>
  <si>
    <t>Gentle static stretching</t>
  </si>
  <si>
    <t>800-1200M warm up</t>
  </si>
  <si>
    <t>Change into spikes for flys</t>
  </si>
  <si>
    <t>4x 30M flys. 100% relaxed effort with sprint form</t>
  </si>
  <si>
    <t>Recover from 30M flys, prepare for workout</t>
  </si>
  <si>
    <t xml:space="preserve"> 10-15 minute easy cool down.</t>
  </si>
  <si>
    <t>2-4x 800M @ 3K effort. 3 minutes recovery between intervals.</t>
  </si>
  <si>
    <t>3-4x 400M @ 1600M effort. 90 seconds in between intervals.</t>
  </si>
  <si>
    <t>1 mile SubT (Optional)</t>
  </si>
  <si>
    <t>30-45 minutes easy run</t>
  </si>
  <si>
    <t>60-90 minute long run</t>
  </si>
  <si>
    <t>4x 100M strides</t>
  </si>
  <si>
    <t>For those who are not racing, we'll have a standard week with Monday/Thursday workouts, and a standard strength training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</si>
</sst>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cellXfs>
  <cellStyles count="3">
    <cellStyle name="Hyperlink" xfId="2" builtinId="8"/>
    <cellStyle name="Normal" xfId="0" builtinId="0"/>
    <cellStyle name="Percent" xfId="1" builtinId="5"/>
  </cellStyles>
  <dxfs count="1118">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117" headerRowBorderDxfId="1116" tableBorderDxfId="1115" totalsRowBorderDxfId="1114">
  <autoFilter ref="A1:C33" xr:uid="{FF795C1F-72BF-8048-AF19-4BC109754AA4}"/>
  <tableColumns count="3">
    <tableColumn id="1" xr3:uid="{797539E5-C30E-C347-9E62-77070737E32D}" name="Category of Training Stimulus" dataDxfId="1113"/>
    <tableColumn id="2" xr3:uid="{CF079A49-3B75-8945-8D85-33DE537F2E7B}" name="Training Component" dataDxfId="1112"/>
    <tableColumn id="3" xr3:uid="{14E078D6-C756-AB4E-A5B8-549BDA9140C1}" name="Description" dataDxfId="111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2" totalsRowShown="0" headerRowDxfId="1110" dataDxfId="1109">
  <autoFilter ref="A1:E42" xr:uid="{A95B5FF0-C24C-AB40-8E37-E36D1F969343}"/>
  <tableColumns count="5">
    <tableColumn id="1" xr3:uid="{E9AB92C4-8B67-3D4B-A8C6-B78C1D4BEEE7}" name="Exercise" dataDxfId="1108"/>
    <tableColumn id="2" xr3:uid="{1A4AEDDF-E23C-3946-AE38-5C5CF7F9C0CE}" name="Routine" dataDxfId="1107"/>
    <tableColumn id="3" xr3:uid="{DF3B3656-9776-1E47-9C7A-2D19CBE10A25}" name="Sets" dataDxfId="1106"/>
    <tableColumn id="4" xr3:uid="{215C473A-1C36-7140-8726-D4CA58A8BDDE}" name="Reps" dataDxfId="1105"/>
    <tableColumn id="5" xr3:uid="{CE501D42-6216-6142-8A4D-7407FA435D0A}" name="Description" dataDxfId="110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zoomScale="140" zoomScaleNormal="140" workbookViewId="0">
      <selection activeCell="H12" sqref="H12:K19"/>
    </sheetView>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3 hours 36 minutes</v>
      </c>
      <c r="C2" s="49" t="str">
        <f>P2&amp;" hours "&amp;ROUND((P3-P2)*(60),2)&amp; " minutes"</f>
        <v>6 hours 14 minutes</v>
      </c>
      <c r="H2" s="51" t="s">
        <v>90</v>
      </c>
      <c r="I2" s="51" t="s">
        <v>91</v>
      </c>
      <c r="J2" s="51" t="s">
        <v>86</v>
      </c>
      <c r="K2" s="51" t="s">
        <v>85</v>
      </c>
      <c r="O2" s="50">
        <f>INT((Monday!$M$10+Tuesday!$M$10+Wednesday!$M$10+Thursday!$M$10+Friday!$M$10+Saturday!$M$10)/(60))</f>
        <v>3</v>
      </c>
      <c r="P2" s="50">
        <f>INT((Monday!$N$10+Tuesday!$N$10+Wednesday!$N$10+Thursday!$N$10+Friday!$N$10+Saturday!$N$10)/(60))</f>
        <v>6</v>
      </c>
    </row>
    <row r="3" spans="1:16" ht="22" customHeight="1">
      <c r="A3" s="6" t="s">
        <v>81</v>
      </c>
      <c r="B3" s="23" t="str">
        <f>(Monday!Q10+Tuesday!Q10+Wednesday!Q10+Thursday!Q10+Friday!Q10+Saturday!Q10)&amp;" miles"</f>
        <v>25.95 miles</v>
      </c>
      <c r="C3" s="23" t="str">
        <f>(Monday!$R$10+Tuesday!$R$10+Wednesday!$R$10+Thursday!$R$10+Friday!$R$10+Saturday!$R$10)&amp;" miles"</f>
        <v>55.3 miles</v>
      </c>
      <c r="H3" s="6" t="s">
        <v>59</v>
      </c>
      <c r="I3" s="6" t="s">
        <v>95</v>
      </c>
      <c r="J3" s="6" t="s">
        <v>9</v>
      </c>
      <c r="K3" s="6"/>
      <c r="O3" s="2">
        <f>(Monday!$M$10+Tuesday!$M$10+Wednesday!$M$10+Thursday!$M$10+Friday!$M$10+Saturday!$M$10)/(60)</f>
        <v>3.6</v>
      </c>
      <c r="P3" s="2">
        <f>(Monday!$N$10+Tuesday!$N$10+Wednesday!$N$10+Thursday!$N$10+Friday!$N$10+Saturday!$N$10)/(60)</f>
        <v>6.2333333333333334</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93</v>
      </c>
      <c r="J5" s="6"/>
      <c r="K5" s="6" t="s">
        <v>5</v>
      </c>
    </row>
    <row r="6" spans="1:16" ht="22" customHeight="1">
      <c r="A6" s="54" t="s">
        <v>17</v>
      </c>
      <c r="B6" s="55">
        <f>TIME(,(Monday!M4+Tuesday!M4+Wednesday!M4+Thursday!M4+Friday!M4+Saturday!M4),)</f>
        <v>0.12083333333333333</v>
      </c>
      <c r="C6" s="55">
        <f>TIME(,(Monday!N4+Tuesday!N4+Wednesday!N4+Thursday!N4+Friday!N4+Saturday!N4),)</f>
        <v>0.20902777777777778</v>
      </c>
      <c r="D6" s="56">
        <f t="shared" ref="D6:D11" si="0">(B6/SUM($B$6:$B$11))</f>
        <v>0.80555555555555558</v>
      </c>
      <c r="E6" s="56">
        <f>(C6/SUM($C$6:$C$11))</f>
        <v>0.80481283422459904</v>
      </c>
      <c r="F6" s="56">
        <f>(D6+E6)/2</f>
        <v>0.80518419489007731</v>
      </c>
      <c r="H6" s="6" t="s">
        <v>75</v>
      </c>
      <c r="I6" s="6" t="s">
        <v>95</v>
      </c>
      <c r="J6" s="6" t="s">
        <v>7</v>
      </c>
      <c r="K6" s="6"/>
    </row>
    <row r="7" spans="1:16" ht="22" customHeight="1">
      <c r="A7" s="29" t="s">
        <v>34</v>
      </c>
      <c r="B7" s="57">
        <f>TIME(,(Monday!M5+Tuesday!M5+Wednesday!M5+Thursday!M5+Friday!M5+Saturday!M5),)</f>
        <v>9.0277777777777769E-3</v>
      </c>
      <c r="C7" s="57">
        <f>TIME(,(Monday!N5+Tuesday!N5+Wednesday!N5+Thursday!N5+Friday!N5+Saturday!N5),)</f>
        <v>9.0277777777777769E-3</v>
      </c>
      <c r="D7" s="58">
        <f t="shared" si="0"/>
        <v>6.0185185185185182E-2</v>
      </c>
      <c r="E7" s="58">
        <f t="shared" ref="E7:E11" si="1">(C7/SUM($C$6:$C$11))</f>
        <v>3.4759358288770054E-2</v>
      </c>
      <c r="F7" s="58">
        <f t="shared" ref="F7:F11" si="2">(D7+E7)/2</f>
        <v>4.7472271736977614E-2</v>
      </c>
      <c r="H7" s="6" t="s">
        <v>76</v>
      </c>
      <c r="I7" s="6" t="s">
        <v>93</v>
      </c>
      <c r="J7" s="6"/>
      <c r="K7" s="6" t="s">
        <v>6</v>
      </c>
    </row>
    <row r="8" spans="1:16" ht="22" customHeight="1">
      <c r="A8" s="59" t="s">
        <v>22</v>
      </c>
      <c r="B8" s="60">
        <f>TIME(,(Monday!M6+Tuesday!M6+Wednesday!M6+Thursday!M6+Friday!M6+Saturday!M6),)</f>
        <v>1.0416666666666666E-2</v>
      </c>
      <c r="C8" s="60">
        <f>TIME(,(Monday!N6+Tuesday!N6+Wednesday!N6+Thursday!N6+Friday!N6+Saturday!N6),)</f>
        <v>2.5694444444444443E-2</v>
      </c>
      <c r="D8" s="61">
        <f t="shared" si="0"/>
        <v>6.9444444444444448E-2</v>
      </c>
      <c r="E8" s="61">
        <f t="shared" si="1"/>
        <v>9.8930481283422467E-2</v>
      </c>
      <c r="F8" s="61">
        <f t="shared" si="2"/>
        <v>8.4187462863933457E-2</v>
      </c>
      <c r="H8" s="6" t="s">
        <v>79</v>
      </c>
      <c r="I8" s="6" t="str">
        <f>Saturday!C1</f>
        <v>Long Run</v>
      </c>
      <c r="J8" s="6" t="s">
        <v>129</v>
      </c>
      <c r="K8" s="6"/>
    </row>
    <row r="9" spans="1:16" ht="22" customHeight="1">
      <c r="A9" s="62" t="s">
        <v>1</v>
      </c>
      <c r="B9" s="63">
        <f>TIME(,(Monday!M7+Tuesday!M7+Wednesday!M7+Thursday!M7+Friday!M7+Saturday!M7),)</f>
        <v>2.7777777777777779E-3</v>
      </c>
      <c r="C9" s="63">
        <f>TIME(,(Monday!N7+Tuesday!N7+Wednesday!N7+Thursday!N7+Friday!N7+Saturday!N7),)</f>
        <v>8.3333333333333332E-3</v>
      </c>
      <c r="D9" s="64">
        <f t="shared" si="0"/>
        <v>1.8518518518518521E-2</v>
      </c>
      <c r="E9" s="64">
        <f t="shared" si="1"/>
        <v>3.2085561497326207E-2</v>
      </c>
      <c r="F9" s="64">
        <f t="shared" si="2"/>
        <v>2.5302040007922362E-2</v>
      </c>
      <c r="H9" s="6" t="s">
        <v>92</v>
      </c>
      <c r="I9" s="6" t="s">
        <v>98</v>
      </c>
      <c r="J9" s="6"/>
      <c r="K9" s="6"/>
    </row>
    <row r="10" spans="1:16" ht="22" customHeight="1">
      <c r="A10" s="66" t="s">
        <v>2</v>
      </c>
      <c r="B10" s="67">
        <f>TIME(,(Monday!M8+Tuesday!M8+Wednesday!M8+Thursday!M8+Friday!M8+Saturday!M8),)</f>
        <v>4.8611111111111112E-3</v>
      </c>
      <c r="C10" s="67">
        <f>TIME(,(Monday!N8+Tuesday!N8+Wednesday!N8+Thursday!N8+Friday!N8+Saturday!N8),)</f>
        <v>5.5555555555555558E-3</v>
      </c>
      <c r="D10" s="68">
        <f t="shared" si="0"/>
        <v>3.2407407407407413E-2</v>
      </c>
      <c r="E10" s="68">
        <f t="shared" si="1"/>
        <v>2.1390374331550804E-2</v>
      </c>
      <c r="F10" s="68">
        <f t="shared" si="2"/>
        <v>2.6898890869479108E-2</v>
      </c>
    </row>
    <row r="11" spans="1:16" ht="22" customHeight="1">
      <c r="A11" s="69" t="s">
        <v>3</v>
      </c>
      <c r="B11" s="71">
        <f>TIME(,(Monday!M9+Tuesday!M9+Wednesday!M9+Thursday!M9+Friday!M9+Saturday!M9),)</f>
        <v>2.0833333333333333E-3</v>
      </c>
      <c r="C11" s="71">
        <f>TIME(,(Monday!N9+Tuesday!N9+Wednesday!N9+Thursday!N9+Friday!N9+Saturday!N9),)</f>
        <v>2.0833333333333333E-3</v>
      </c>
      <c r="D11" s="70">
        <f t="shared" si="0"/>
        <v>1.388888888888889E-2</v>
      </c>
      <c r="E11" s="70">
        <f t="shared" si="1"/>
        <v>8.0213903743315516E-3</v>
      </c>
      <c r="F11" s="70">
        <f t="shared" si="2"/>
        <v>1.0955139631610222E-2</v>
      </c>
      <c r="H11" s="81" t="s">
        <v>156</v>
      </c>
      <c r="I11" s="81"/>
      <c r="J11" s="81"/>
      <c r="K11" s="81"/>
    </row>
    <row r="12" spans="1:16" ht="22" customHeight="1">
      <c r="H12" s="80" t="s">
        <v>213</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19.399999999999999</v>
      </c>
      <c r="C14" s="28">
        <f>Monday!R4+Tuesday!R4+Wednesday!R4+Thursday!R4+Friday!R4+Saturday!R4</f>
        <v>39.5</v>
      </c>
      <c r="D14" s="56">
        <f>B14/(SUM($B$14:$B$19))</f>
        <v>0.74759152215799618</v>
      </c>
      <c r="E14" s="56">
        <f>C14/(SUM($C$14:$C$19))</f>
        <v>0.71428571428571419</v>
      </c>
      <c r="F14" s="56">
        <f t="shared" ref="F14:F19" si="3">(D14+E14)/2</f>
        <v>0.73093861822185513</v>
      </c>
      <c r="H14" s="80"/>
      <c r="I14" s="80"/>
      <c r="J14" s="80"/>
      <c r="K14" s="80"/>
    </row>
    <row r="15" spans="1:16" ht="22" customHeight="1">
      <c r="A15" s="29" t="s">
        <v>34</v>
      </c>
      <c r="B15" s="30">
        <f>Monday!Q5+Tuesday!Q5+Wednesday!Q5+Thursday!Q5+Friday!Q5+Saturday!Q5</f>
        <v>1.7999999999999998</v>
      </c>
      <c r="C15" s="30">
        <f>Monday!R5+Tuesday!R5+Wednesday!R5+Thursday!R5+Friday!R5+Saturday!R5</f>
        <v>5.6</v>
      </c>
      <c r="D15" s="58">
        <f t="shared" ref="D15:D19" si="4">B15/(SUM($B$14:$B$19))</f>
        <v>6.936416184971099E-2</v>
      </c>
      <c r="E15" s="58">
        <f t="shared" ref="E15:E19" si="5">C15/(SUM($C$14:$C$19))</f>
        <v>0.10126582278481011</v>
      </c>
      <c r="F15" s="58">
        <f t="shared" si="3"/>
        <v>8.5314992317260557E-2</v>
      </c>
      <c r="H15" s="80"/>
      <c r="I15" s="80"/>
      <c r="J15" s="80"/>
      <c r="K15" s="80"/>
    </row>
    <row r="16" spans="1:16" ht="22" customHeight="1">
      <c r="A16" s="59" t="s">
        <v>22</v>
      </c>
      <c r="B16" s="32">
        <f>Monday!Q6+Tuesday!Q6+Wednesday!Q6+Thursday!Q6+Friday!Q6+Saturday!Q6</f>
        <v>2.4</v>
      </c>
      <c r="C16" s="32">
        <f>Monday!R6+Tuesday!R6+Wednesday!R6+Thursday!R6+Friday!R6+Saturday!R6</f>
        <v>6.5</v>
      </c>
      <c r="D16" s="61">
        <f t="shared" si="4"/>
        <v>9.2485549132947986E-2</v>
      </c>
      <c r="E16" s="61">
        <f t="shared" si="5"/>
        <v>0.11754068716094032</v>
      </c>
      <c r="F16" s="61">
        <f t="shared" si="3"/>
        <v>0.10501311814694415</v>
      </c>
      <c r="H16" s="80"/>
      <c r="I16" s="80"/>
      <c r="J16" s="80"/>
      <c r="K16" s="80"/>
    </row>
    <row r="17" spans="1:11" ht="22" customHeight="1">
      <c r="A17" s="62" t="s">
        <v>1</v>
      </c>
      <c r="B17" s="65">
        <f>Monday!Q7+Tuesday!Q7+Wednesday!Q7+Thursday!Q7+Friday!Q7+Saturday!Q7</f>
        <v>1</v>
      </c>
      <c r="C17" s="65">
        <f>Monday!R7+Tuesday!R7+Wednesday!R7+Thursday!R7+Friday!R7+Saturday!R7</f>
        <v>2</v>
      </c>
      <c r="D17" s="64">
        <f t="shared" si="4"/>
        <v>3.8535645472061661E-2</v>
      </c>
      <c r="E17" s="64">
        <f t="shared" si="5"/>
        <v>3.6166365280289325E-2</v>
      </c>
      <c r="F17" s="64">
        <f t="shared" si="3"/>
        <v>3.7351005376175493E-2</v>
      </c>
      <c r="H17" s="80"/>
      <c r="I17" s="80"/>
      <c r="J17" s="80"/>
      <c r="K17" s="80"/>
    </row>
    <row r="18" spans="1:11" ht="22" customHeight="1">
      <c r="A18" s="66" t="s">
        <v>2</v>
      </c>
      <c r="B18" s="34">
        <f>Monday!Q8+Tuesday!Q8+Wednesday!Q8+Thursday!Q8+Friday!Q8+Saturday!Q8</f>
        <v>1.1499999999999999</v>
      </c>
      <c r="C18" s="34">
        <f>Monday!R8+Tuesday!R8+Wednesday!R8+Thursday!R8+Friday!R8+Saturday!R8</f>
        <v>1.5</v>
      </c>
      <c r="D18" s="68">
        <f t="shared" si="4"/>
        <v>4.4315992292870907E-2</v>
      </c>
      <c r="E18" s="68">
        <f t="shared" si="5"/>
        <v>2.7124773960216998E-2</v>
      </c>
      <c r="F18" s="68">
        <f t="shared" si="3"/>
        <v>3.572038312654395E-2</v>
      </c>
      <c r="H18" s="80"/>
      <c r="I18" s="80"/>
      <c r="J18" s="80"/>
      <c r="K18" s="80"/>
    </row>
    <row r="19" spans="1:11" ht="22" customHeight="1">
      <c r="A19" s="69" t="s">
        <v>3</v>
      </c>
      <c r="B19" s="38">
        <f>Monday!Q9+Tuesday!Q9+Wednesday!Q9+Thursday!Q9+Friday!Q9+Saturday!Q9</f>
        <v>0.2</v>
      </c>
      <c r="C19" s="38">
        <f>Monday!R9+Tuesday!R9+Wednesday!R9+Thursday!R9+Friday!R9+Saturday!R9</f>
        <v>0.2</v>
      </c>
      <c r="D19" s="70">
        <f t="shared" si="4"/>
        <v>7.707129094412333E-3</v>
      </c>
      <c r="E19" s="70">
        <f t="shared" si="5"/>
        <v>3.616636528028933E-3</v>
      </c>
      <c r="F19" s="70">
        <f t="shared" si="3"/>
        <v>5.6618828112206332E-3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tabSelected="1" zoomScale="140" zoomScaleNormal="140" workbookViewId="0">
      <selection activeCell="E10" sqref="E10:F10"/>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45719</v>
      </c>
      <c r="C1" s="20" t="s">
        <v>95</v>
      </c>
      <c r="D1" s="20" t="s">
        <v>61</v>
      </c>
      <c r="E1" s="20" t="s">
        <v>60</v>
      </c>
      <c r="F1" s="20"/>
      <c r="G1" s="90" t="s">
        <v>53</v>
      </c>
      <c r="H1" s="91"/>
      <c r="I1" s="91"/>
      <c r="J1" s="91"/>
      <c r="L1" s="25" t="s">
        <v>39</v>
      </c>
      <c r="M1" s="89" t="s">
        <v>11</v>
      </c>
      <c r="N1" s="89"/>
      <c r="O1" s="89"/>
      <c r="P1" s="89"/>
      <c r="Q1" s="89" t="s">
        <v>12</v>
      </c>
      <c r="R1" s="89"/>
      <c r="S1" s="89"/>
      <c r="T1" s="89"/>
    </row>
    <row r="2" spans="1:20" s="2" customFormat="1" ht="25" customHeight="1">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s="2" customFormat="1" ht="25" customHeight="1">
      <c r="A3" s="82"/>
      <c r="B3" s="82"/>
      <c r="C3" s="82"/>
      <c r="D3" s="82"/>
      <c r="E3" s="84"/>
      <c r="F3" s="84"/>
      <c r="G3" s="22" t="s">
        <v>44</v>
      </c>
      <c r="H3" s="22" t="s">
        <v>45</v>
      </c>
      <c r="I3" s="22" t="s">
        <v>44</v>
      </c>
      <c r="J3" s="22" t="s">
        <v>45</v>
      </c>
      <c r="K3" s="83"/>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5" t="s">
        <v>178</v>
      </c>
      <c r="F4" s="85"/>
      <c r="G4" s="23">
        <v>5</v>
      </c>
      <c r="H4" s="23">
        <v>8</v>
      </c>
      <c r="I4" s="23">
        <v>0.5</v>
      </c>
      <c r="J4" s="23">
        <v>0.75</v>
      </c>
      <c r="L4" s="27" t="s">
        <v>69</v>
      </c>
      <c r="M4" s="28">
        <f>SUMIF(Monday_Training_Category,"Aerobic Running",Monday_Training_Time_Lower)</f>
        <v>10</v>
      </c>
      <c r="N4" s="28">
        <f>SUMIF(Monday_Training_Category,"Aerobic Running",Monday_Training_Time_Upper)</f>
        <v>23</v>
      </c>
      <c r="O4" s="39">
        <f t="shared" ref="O4:O9" si="0">M4/$M$10</f>
        <v>0.29411764705882354</v>
      </c>
      <c r="P4" s="39">
        <f t="shared" ref="P4:P10" si="1">N4/$N$10</f>
        <v>0.37096774193548387</v>
      </c>
      <c r="Q4" s="28">
        <f>SUMIF(Monday_Training_Category,"Aerobic Running",Monday_Training_Distance_Lower)</f>
        <v>1.1000000000000001</v>
      </c>
      <c r="R4" s="28">
        <f>SUMIF(Monday_Training_Category,"Aerobic Running",Monday_Training_Distance_Upper)</f>
        <v>2.75</v>
      </c>
      <c r="S4" s="39">
        <f>Q4/$Q$10</f>
        <v>0.26190476190476192</v>
      </c>
      <c r="T4" s="39">
        <f>R4/$R$10</f>
        <v>0.30386740331491718</v>
      </c>
    </row>
    <row r="5" spans="1:20" s="2" customFormat="1" ht="50" customHeight="1">
      <c r="A5" s="6" t="s">
        <v>19</v>
      </c>
      <c r="B5" s="6" t="str">
        <f>_xlfn.XLOOKUP(A5,TrainingTable[Training Component],TrainingTable[Category of Training Stimulus],"")</f>
        <v>Stretching and Mobility</v>
      </c>
      <c r="C5" s="6" t="s">
        <v>55</v>
      </c>
      <c r="D5" s="6" t="s">
        <v>67</v>
      </c>
      <c r="E5" s="85" t="s">
        <v>179</v>
      </c>
      <c r="F5" s="85"/>
      <c r="G5" s="23">
        <v>5</v>
      </c>
      <c r="H5" s="23">
        <v>8</v>
      </c>
      <c r="I5" s="23">
        <v>0.2</v>
      </c>
      <c r="J5" s="23">
        <v>0.2</v>
      </c>
      <c r="L5" s="29" t="s">
        <v>34</v>
      </c>
      <c r="M5" s="30">
        <f>SUMIF(Monday_Training_Category,"Turnover and Pace Work",Monday_Training_Time_Lower)</f>
        <v>5</v>
      </c>
      <c r="N5" s="30">
        <f>SUMIF(Monday_Training_Category,"Turnover and Pace Work",Monday_Training_Time_Upper)</f>
        <v>5</v>
      </c>
      <c r="O5" s="40">
        <f t="shared" si="0"/>
        <v>0.14705882352941177</v>
      </c>
      <c r="P5" s="40">
        <f t="shared" si="1"/>
        <v>8.0645161290322578E-2</v>
      </c>
      <c r="Q5" s="30">
        <f>SUMIF(Monday_Training_Category,"Turnover and Pace Work",Monday_Training_Distance_Lower)</f>
        <v>0.2</v>
      </c>
      <c r="R5" s="30">
        <f>SUMIF(Monday_Training_Category,"Turnover and Pace Work",Monday_Training_Distance_Upper)</f>
        <v>0.2</v>
      </c>
      <c r="S5" s="40">
        <f t="shared" ref="S5:S10" si="2">Q5/$Q$10</f>
        <v>4.7619047619047616E-2</v>
      </c>
      <c r="T5" s="40">
        <f t="shared" ref="T5:T10" si="3">R5/$R$10</f>
        <v>2.2099447513812157E-2</v>
      </c>
    </row>
    <row r="6" spans="1:20" s="2" customFormat="1" ht="50" customHeight="1">
      <c r="A6" s="6" t="s">
        <v>43</v>
      </c>
      <c r="B6" s="6" t="str">
        <f>_xlfn.XLOOKUP(A6,TrainingTable[Training Component],TrainingTable[Category of Training Stimulus],"")</f>
        <v>Turnover and Pace Work</v>
      </c>
      <c r="C6" s="6" t="s">
        <v>55</v>
      </c>
      <c r="D6" s="6" t="s">
        <v>64</v>
      </c>
      <c r="E6" s="85" t="s">
        <v>180</v>
      </c>
      <c r="F6" s="85"/>
      <c r="G6" s="23">
        <v>5</v>
      </c>
      <c r="H6" s="23">
        <v>5</v>
      </c>
      <c r="I6" s="23">
        <v>0.2</v>
      </c>
      <c r="J6" s="23">
        <v>0.2</v>
      </c>
      <c r="L6" s="31" t="s">
        <v>22</v>
      </c>
      <c r="M6" s="32">
        <f>SUMIF(Monday_Training_Category,"Threshold",Monday_Training_Time_Lower)</f>
        <v>15</v>
      </c>
      <c r="N6" s="32">
        <f>SUMIF(Monday_Training_Category,"Threshold",Monday_Training_Time_Upper)</f>
        <v>30</v>
      </c>
      <c r="O6" s="41">
        <f t="shared" si="0"/>
        <v>0.44117647058823528</v>
      </c>
      <c r="P6" s="41">
        <f t="shared" si="1"/>
        <v>0.4838709677419355</v>
      </c>
      <c r="Q6" s="32">
        <f>SUMIF(Monday_Training_Category,"Threshold",Monday_Training_Distance_Lower)</f>
        <v>2.4</v>
      </c>
      <c r="R6" s="32">
        <f>SUMIF(Monday_Training_Category,"Threshold",Monday_Training_Distance_Upper)</f>
        <v>5.5</v>
      </c>
      <c r="S6" s="41">
        <f t="shared" si="2"/>
        <v>0.5714285714285714</v>
      </c>
      <c r="T6" s="41">
        <f t="shared" si="3"/>
        <v>0.60773480662983437</v>
      </c>
    </row>
    <row r="7" spans="1:20" s="2" customFormat="1" ht="50" customHeight="1">
      <c r="A7" s="6" t="s">
        <v>49</v>
      </c>
      <c r="B7" s="6" t="str">
        <f>_xlfn.XLOOKUP(A7,TrainingTable[Training Component],TrainingTable[Category of Training Stimulus],"")</f>
        <v>Recovery</v>
      </c>
      <c r="C7" s="6" t="s">
        <v>57</v>
      </c>
      <c r="D7" s="6" t="s">
        <v>57</v>
      </c>
      <c r="E7" s="85" t="s">
        <v>181</v>
      </c>
      <c r="F7" s="85"/>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5" t="s">
        <v>182</v>
      </c>
      <c r="F8" s="85"/>
      <c r="G8" s="23">
        <v>2</v>
      </c>
      <c r="H8" s="23">
        <v>2</v>
      </c>
      <c r="I8" s="23">
        <v>0.1</v>
      </c>
      <c r="J8" s="23">
        <v>0.1</v>
      </c>
      <c r="L8" s="33" t="s">
        <v>2</v>
      </c>
      <c r="M8" s="34">
        <f>SUMIF(Monday_Training_Category,"Lactate Tolerance",Monday_Training_Time_Lower)</f>
        <v>2</v>
      </c>
      <c r="N8" s="34">
        <f>SUMIF(Monday_Training_Category,"Lactate Tolerance",Monday_Training_Time_Upper)</f>
        <v>2</v>
      </c>
      <c r="O8" s="43">
        <f t="shared" si="0"/>
        <v>5.8823529411764705E-2</v>
      </c>
      <c r="P8" s="43">
        <f t="shared" si="1"/>
        <v>3.2258064516129031E-2</v>
      </c>
      <c r="Q8" s="34">
        <f>SUMIF(Monday_Training_Category,"Lactate Tolerance",Monday_Training_Distance_Lower)</f>
        <v>0.4</v>
      </c>
      <c r="R8" s="34">
        <f>SUMIF(Monday_Training_Category,"Lactate Tolerance",Monday_Training_Distance_Upper)</f>
        <v>0.5</v>
      </c>
      <c r="S8" s="43">
        <f t="shared" si="2"/>
        <v>9.5238095238095233E-2</v>
      </c>
      <c r="T8" s="43">
        <f t="shared" si="3"/>
        <v>5.5248618784530391E-2</v>
      </c>
    </row>
    <row r="9" spans="1:20" s="2" customFormat="1" ht="50" customHeight="1">
      <c r="A9" s="6" t="s">
        <v>49</v>
      </c>
      <c r="B9" s="6" t="str">
        <f>_xlfn.XLOOKUP(A9,TrainingTable[Training Component],TrainingTable[Category of Training Stimulus],"")</f>
        <v>Recovery</v>
      </c>
      <c r="C9" s="6" t="s">
        <v>57</v>
      </c>
      <c r="D9" s="6" t="s">
        <v>57</v>
      </c>
      <c r="E9" s="85" t="s">
        <v>183</v>
      </c>
      <c r="F9" s="85"/>
      <c r="G9" s="23">
        <v>5</v>
      </c>
      <c r="H9" s="23">
        <v>5</v>
      </c>
      <c r="I9" s="23">
        <v>0</v>
      </c>
      <c r="J9" s="23">
        <v>0</v>
      </c>
      <c r="L9" s="37" t="s">
        <v>3</v>
      </c>
      <c r="M9" s="38">
        <f>SUMIF(Monday_Training_Category,"Speed Development",Monday_Training_Time_Lower)</f>
        <v>2</v>
      </c>
      <c r="N9" s="38">
        <f>SUMIF(Monday_Training_Category,"Speed Development",Monday_Training_Time_Upper)</f>
        <v>2</v>
      </c>
      <c r="O9" s="44">
        <f t="shared" si="0"/>
        <v>5.8823529411764705E-2</v>
      </c>
      <c r="P9" s="44">
        <f t="shared" si="1"/>
        <v>3.2258064516129031E-2</v>
      </c>
      <c r="Q9" s="38">
        <f>SUMIF(Monday_Training_Category,"Speed Development",Monday_Training_Distance_Lower)</f>
        <v>0.1</v>
      </c>
      <c r="R9" s="38">
        <f>SUMIF(Monday_Training_Category,"Speed Development",Monday_Training_Distance_Upper)</f>
        <v>0.1</v>
      </c>
      <c r="S9" s="44">
        <f t="shared" si="2"/>
        <v>2.3809523809523808E-2</v>
      </c>
      <c r="T9" s="44">
        <f t="shared" si="3"/>
        <v>1.1049723756906079E-2</v>
      </c>
    </row>
    <row r="10" spans="1:20" s="2" customFormat="1" ht="50" customHeight="1">
      <c r="A10" s="6" t="s">
        <v>23</v>
      </c>
      <c r="B10" s="6" t="str">
        <f>_xlfn.XLOOKUP(A10,TrainingTable[Training Component],TrainingTable[Category of Training Stimulus],"")</f>
        <v>Threshold</v>
      </c>
      <c r="C10" s="6" t="s">
        <v>58</v>
      </c>
      <c r="D10" s="6" t="s">
        <v>64</v>
      </c>
      <c r="E10" s="85" t="s">
        <v>195</v>
      </c>
      <c r="F10" s="85"/>
      <c r="G10" s="23">
        <v>15</v>
      </c>
      <c r="H10" s="23">
        <v>30</v>
      </c>
      <c r="I10" s="23">
        <v>2.4</v>
      </c>
      <c r="J10" s="23">
        <v>5.5</v>
      </c>
      <c r="L10" s="46" t="s">
        <v>72</v>
      </c>
      <c r="M10" s="23">
        <f>SUM(M4:M9)</f>
        <v>34</v>
      </c>
      <c r="N10" s="23">
        <f>SUM(N4:N9)</f>
        <v>62</v>
      </c>
      <c r="O10" s="47">
        <f>M10/M10</f>
        <v>1</v>
      </c>
      <c r="P10" s="45">
        <f t="shared" si="1"/>
        <v>1</v>
      </c>
      <c r="Q10" s="23">
        <f>SUM(Q4:Q9)</f>
        <v>4.2</v>
      </c>
      <c r="R10" s="23">
        <f>SUM(R4:R9)</f>
        <v>9.0499999999999989</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5" t="s">
        <v>184</v>
      </c>
      <c r="F11" s="85"/>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5" t="s">
        <v>185</v>
      </c>
      <c r="F12" s="85"/>
      <c r="G12" s="23">
        <v>2</v>
      </c>
      <c r="H12" s="23">
        <v>2</v>
      </c>
      <c r="I12" s="23">
        <v>0.4</v>
      </c>
      <c r="J12" s="23">
        <v>0.5</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5" t="s">
        <v>186</v>
      </c>
      <c r="F13" s="85"/>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57</v>
      </c>
      <c r="D14" s="6" t="s">
        <v>57</v>
      </c>
      <c r="E14" s="85" t="s">
        <v>177</v>
      </c>
      <c r="F14" s="85"/>
      <c r="G14" s="23">
        <v>5</v>
      </c>
      <c r="H14" s="23">
        <v>15</v>
      </c>
      <c r="I14" s="23">
        <v>0.6</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57</v>
      </c>
      <c r="D15" s="6" t="s">
        <v>57</v>
      </c>
      <c r="E15" s="85" t="s">
        <v>187</v>
      </c>
      <c r="F15" s="85"/>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5"/>
      <c r="F16" s="85"/>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5"/>
      <c r="F17" s="85"/>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5"/>
      <c r="F18" s="85"/>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5"/>
      <c r="F19" s="85"/>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5"/>
      <c r="F20" s="85"/>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5"/>
      <c r="F21" s="85"/>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5"/>
      <c r="F22" s="85"/>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5"/>
      <c r="F23" s="85"/>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5"/>
      <c r="F24" s="85"/>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5"/>
      <c r="F25" s="85"/>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5"/>
      <c r="F26" s="85"/>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6"/>
      <c r="F27" s="86"/>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6"/>
      <c r="F28" s="86"/>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6"/>
      <c r="F29" s="86"/>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Q2:T2"/>
    <mergeCell ref="E11:F11"/>
    <mergeCell ref="M2:P2"/>
    <mergeCell ref="M1:P1"/>
    <mergeCell ref="Q1:T1"/>
    <mergeCell ref="G1:J1"/>
    <mergeCell ref="E4:F4"/>
    <mergeCell ref="G2:H2"/>
    <mergeCell ref="I2:J2"/>
    <mergeCell ref="E29:F29"/>
    <mergeCell ref="E18:F18"/>
    <mergeCell ref="E19:F19"/>
    <mergeCell ref="E20:F20"/>
    <mergeCell ref="E21:F21"/>
    <mergeCell ref="E22:F22"/>
    <mergeCell ref="E23:F23"/>
    <mergeCell ref="E24:F24"/>
    <mergeCell ref="E25:F25"/>
    <mergeCell ref="E26:F26"/>
    <mergeCell ref="E27:F27"/>
    <mergeCell ref="E28:F28"/>
    <mergeCell ref="E17:F17"/>
    <mergeCell ref="E5:F5"/>
    <mergeCell ref="E6:F6"/>
    <mergeCell ref="E7:F7"/>
    <mergeCell ref="E8:F8"/>
    <mergeCell ref="E9:F9"/>
    <mergeCell ref="E10:F10"/>
    <mergeCell ref="E12:F12"/>
    <mergeCell ref="E13:F13"/>
    <mergeCell ref="E14:F14"/>
    <mergeCell ref="E15:F15"/>
    <mergeCell ref="E16:F16"/>
    <mergeCell ref="A2:A3"/>
    <mergeCell ref="B2:B3"/>
    <mergeCell ref="K2:K3"/>
    <mergeCell ref="D2:D3"/>
    <mergeCell ref="C2:C3"/>
    <mergeCell ref="E2:F3"/>
  </mergeCells>
  <conditionalFormatting sqref="A4:F4">
    <cfRule type="expression" dxfId="1103" priority="368">
      <formula>$B$4="Speed Development"</formula>
    </cfRule>
    <cfRule type="expression" dxfId="1102" priority="367">
      <formula>$B$4="Lactate Tolerance"</formula>
    </cfRule>
    <cfRule type="expression" dxfId="1101" priority="366">
      <formula>$B$4="VO2 Max"</formula>
    </cfRule>
    <cfRule type="expression" dxfId="1100" priority="365">
      <formula>$B$4="Threshold"</formula>
    </cfRule>
    <cfRule type="expression" dxfId="1099" priority="364">
      <formula>$B$4="Turnover and Pace Work"</formula>
    </cfRule>
    <cfRule type="expression" dxfId="1098" priority="363">
      <formula>$B$4="Aerobic Running"</formula>
    </cfRule>
    <cfRule type="expression" dxfId="1097" priority="362">
      <formula>$B$4="Stretching and Mobility"</formula>
    </cfRule>
    <cfRule type="expression" dxfId="1096" priority="361">
      <formula>$B$4="Recovery"</formula>
    </cfRule>
  </conditionalFormatting>
  <conditionalFormatting sqref="A5:F5">
    <cfRule type="expression" dxfId="1095" priority="176">
      <formula>$B$5="Speed Development"</formula>
    </cfRule>
    <cfRule type="expression" dxfId="1094" priority="175">
      <formula>$B$5="Lactate Tolerance"</formula>
    </cfRule>
    <cfRule type="expression" dxfId="1093" priority="174">
      <formula>$B$5="VO2 Max"</formula>
    </cfRule>
    <cfRule type="expression" dxfId="1092" priority="173">
      <formula>$B$5="Threshold"</formula>
    </cfRule>
    <cfRule type="expression" dxfId="1091" priority="172">
      <formula>$B$5="Turnover and Pace Work"</formula>
    </cfRule>
    <cfRule type="expression" dxfId="1090" priority="171">
      <formula>$B$5="Aerobic Running"</formula>
    </cfRule>
    <cfRule type="expression" dxfId="1089" priority="170">
      <formula>$B$5="Stretching and Mobility"</formula>
    </cfRule>
    <cfRule type="expression" dxfId="1088" priority="169">
      <formula>$B$5="Recovery"</formula>
    </cfRule>
  </conditionalFormatting>
  <conditionalFormatting sqref="A6:F6">
    <cfRule type="expression" dxfId="1087" priority="164">
      <formula>$B$6="Turnover and Pace Work"</formula>
    </cfRule>
    <cfRule type="expression" dxfId="1086" priority="167">
      <formula>$B$6="Lactate Tolerance"</formula>
    </cfRule>
    <cfRule type="expression" dxfId="1085" priority="166">
      <formula>$B$6="VO2 Max"</formula>
    </cfRule>
    <cfRule type="expression" dxfId="1084" priority="165">
      <formula>$B$6="Threshold"</formula>
    </cfRule>
    <cfRule type="expression" dxfId="1083" priority="168">
      <formula>$B$6="Speed Development"</formula>
    </cfRule>
    <cfRule type="expression" dxfId="1082" priority="163">
      <formula>$B$6="Aerobic Running"</formula>
    </cfRule>
    <cfRule type="expression" dxfId="1081" priority="162">
      <formula>$B$6="Stretching and Mobility"</formula>
    </cfRule>
    <cfRule type="expression" dxfId="1080" priority="161">
      <formula>$B$6="Recovery"</formula>
    </cfRule>
  </conditionalFormatting>
  <conditionalFormatting sqref="A7:F7">
    <cfRule type="expression" dxfId="1079" priority="160">
      <formula>$B$7="Speed Development"</formula>
    </cfRule>
    <cfRule type="expression" dxfId="1078" priority="159">
      <formula>$B$7="Lactate Tolerance"</formula>
    </cfRule>
    <cfRule type="expression" dxfId="1077" priority="158">
      <formula>$B$7="VO2 Max"</formula>
    </cfRule>
    <cfRule type="expression" dxfId="1076" priority="157">
      <formula>$B$7="Threshold"</formula>
    </cfRule>
    <cfRule type="expression" dxfId="1075" priority="156">
      <formula>$B$7="Turnover and Pace Work"</formula>
    </cfRule>
    <cfRule type="expression" dxfId="1074" priority="155">
      <formula>$B$7="Aerobic Running"</formula>
    </cfRule>
    <cfRule type="expression" dxfId="1073" priority="154">
      <formula>$B$7="Stretching and Mobility"</formula>
    </cfRule>
    <cfRule type="expression" dxfId="1072" priority="153">
      <formula>$B$7="Recovery"</formula>
    </cfRule>
  </conditionalFormatting>
  <conditionalFormatting sqref="A8:F8">
    <cfRule type="expression" dxfId="1071" priority="152">
      <formula>$B$8="Speed Development"</formula>
    </cfRule>
    <cfRule type="expression" dxfId="1070" priority="151">
      <formula>$B$8="Lactate Tolerance"</formula>
    </cfRule>
    <cfRule type="expression" dxfId="1069" priority="150">
      <formula>$B$8="VO2 Max"</formula>
    </cfRule>
    <cfRule type="expression" dxfId="1068" priority="149">
      <formula>$B$8="Threshold"</formula>
    </cfRule>
    <cfRule type="expression" dxfId="1067" priority="148">
      <formula>$B$8="Turnover and Pace Work"</formula>
    </cfRule>
    <cfRule type="expression" dxfId="1066" priority="147">
      <formula>$B$8="Aerobic Running"</formula>
    </cfRule>
    <cfRule type="expression" dxfId="1065" priority="146">
      <formula>$B$8="Stretching and Mobility"</formula>
    </cfRule>
    <cfRule type="expression" dxfId="1064" priority="145">
      <formula>$B$8="Recovery"</formula>
    </cfRule>
  </conditionalFormatting>
  <conditionalFormatting sqref="A9:F9">
    <cfRule type="expression" dxfId="1063" priority="140">
      <formula>$B$9="Turnover and Pace Work"</formula>
    </cfRule>
    <cfRule type="expression" dxfId="1062" priority="143">
      <formula>$B$9="Lactate Tolerance"</formula>
    </cfRule>
    <cfRule type="expression" dxfId="1061" priority="142">
      <formula>$B$9="VO2 Max"</formula>
    </cfRule>
    <cfRule type="expression" dxfId="1060" priority="141">
      <formula>$B$9="Threshold"</formula>
    </cfRule>
    <cfRule type="expression" dxfId="1059" priority="144">
      <formula>$B$9="Speed Development"</formula>
    </cfRule>
    <cfRule type="expression" dxfId="1058" priority="139">
      <formula>$B$9="Aerobic Running"</formula>
    </cfRule>
    <cfRule type="expression" dxfId="1057" priority="138">
      <formula>$B$9="Stretching and Mobility"</formula>
    </cfRule>
    <cfRule type="expression" dxfId="1056" priority="137">
      <formula>$B$9="Recovery"</formula>
    </cfRule>
  </conditionalFormatting>
  <conditionalFormatting sqref="A10:F10">
    <cfRule type="expression" dxfId="1055" priority="136">
      <formula>$B$10="Speed Development"</formula>
    </cfRule>
    <cfRule type="expression" dxfId="1054" priority="135">
      <formula>$B$10="Lactate Tolerance"</formula>
    </cfRule>
    <cfRule type="expression" dxfId="1053" priority="134">
      <formula>$B$10="VO2 Max"</formula>
    </cfRule>
    <cfRule type="expression" dxfId="1052" priority="133">
      <formula>$B$10="Threshold"</formula>
    </cfRule>
    <cfRule type="expression" dxfId="1051" priority="132">
      <formula>$B$10="Turnover and Pace Work"</formula>
    </cfRule>
    <cfRule type="expression" dxfId="1050" priority="131">
      <formula>$B$10="Aerobic Running"</formula>
    </cfRule>
    <cfRule type="expression" dxfId="1049" priority="130">
      <formula>$B$10="Stretching and Mobility"</formula>
    </cfRule>
    <cfRule type="expression" dxfId="1048" priority="129">
      <formula>$B$10="Recovery"</formula>
    </cfRule>
  </conditionalFormatting>
  <conditionalFormatting sqref="A11:F11">
    <cfRule type="expression" dxfId="1047" priority="128">
      <formula>$B$11="Speed Development"</formula>
    </cfRule>
    <cfRule type="expression" dxfId="1046" priority="127">
      <formula>$B$11="Lactate Tolerance"</formula>
    </cfRule>
    <cfRule type="expression" dxfId="1045" priority="126">
      <formula>$B$11="VO2 Max"</formula>
    </cfRule>
    <cfRule type="expression" dxfId="1044" priority="125">
      <formula>$B$11="Threshold"</formula>
    </cfRule>
    <cfRule type="expression" dxfId="1043" priority="124">
      <formula>$B$11="Turnover and Pace Work"</formula>
    </cfRule>
    <cfRule type="expression" dxfId="1042" priority="123">
      <formula>$B$11="Aerobic Running"</formula>
    </cfRule>
    <cfRule type="expression" dxfId="1041" priority="122">
      <formula>$B$11="Stretching and Mobility"</formula>
    </cfRule>
    <cfRule type="expression" dxfId="1040" priority="121">
      <formula>$B$11="Recovery"</formula>
    </cfRule>
  </conditionalFormatting>
  <conditionalFormatting sqref="A12:F12">
    <cfRule type="expression" dxfId="1039" priority="120">
      <formula>$B$12="Speed Development"</formula>
    </cfRule>
    <cfRule type="expression" dxfId="1038" priority="119">
      <formula>$B$12="Lactate Tolerance"</formula>
    </cfRule>
    <cfRule type="expression" dxfId="1037" priority="118">
      <formula>$B$12="VO2 Max"</formula>
    </cfRule>
    <cfRule type="expression" dxfId="1036" priority="117">
      <formula>$B$12="Threshold"</formula>
    </cfRule>
    <cfRule type="expression" dxfId="1035" priority="116">
      <formula>$B$12="Turnover and Pace Work"</formula>
    </cfRule>
    <cfRule type="expression" dxfId="1034" priority="115">
      <formula>$B$12="Aerobic Running"</formula>
    </cfRule>
    <cfRule type="expression" dxfId="1033" priority="114">
      <formula>$B$12="Stretching and Mobility"</formula>
    </cfRule>
    <cfRule type="expression" dxfId="1032" priority="113">
      <formula>$B$12="Recovery"</formula>
    </cfRule>
  </conditionalFormatting>
  <conditionalFormatting sqref="A13:F13">
    <cfRule type="expression" dxfId="1031" priority="112">
      <formula>$B$13="Speed Development"</formula>
    </cfRule>
    <cfRule type="expression" dxfId="1030" priority="111">
      <formula>$B$13="Lactate Tolerance"</formula>
    </cfRule>
    <cfRule type="expression" dxfId="1029" priority="110">
      <formula>$B$13="VO2 Max"</formula>
    </cfRule>
    <cfRule type="expression" dxfId="1028" priority="109">
      <formula>$B$13="Threshold"</formula>
    </cfRule>
    <cfRule type="expression" dxfId="1027" priority="108">
      <formula>$B$13="Turnover and Pace Work"</formula>
    </cfRule>
    <cfRule type="expression" dxfId="1026" priority="107">
      <formula>$B$13="Aerobic Running"</formula>
    </cfRule>
    <cfRule type="expression" dxfId="1025" priority="106">
      <formula>$B$13="Stretching and Mobility"</formula>
    </cfRule>
    <cfRule type="expression" dxfId="1024" priority="105">
      <formula>$B$13="Recovery"</formula>
    </cfRule>
  </conditionalFormatting>
  <conditionalFormatting sqref="A14:F14">
    <cfRule type="expression" dxfId="1023" priority="104">
      <formula>$B$14="Speed Development"</formula>
    </cfRule>
    <cfRule type="expression" dxfId="1022" priority="103">
      <formula>$B$14="Lactate Tolerance"</formula>
    </cfRule>
    <cfRule type="expression" dxfId="1021" priority="102">
      <formula>$B$14="VO2 Max"</formula>
    </cfRule>
    <cfRule type="expression" dxfId="1020" priority="101">
      <formula>$B$14="Threshold"</formula>
    </cfRule>
    <cfRule type="expression" dxfId="1019" priority="100">
      <formula>$B$14="Turnover and Pace Work"</formula>
    </cfRule>
    <cfRule type="expression" dxfId="1018" priority="99">
      <formula>$B$14="Aerobic Running"</formula>
    </cfRule>
    <cfRule type="expression" dxfId="1017" priority="98">
      <formula>$B$14="Stretching and Mobility"</formula>
    </cfRule>
    <cfRule type="expression" dxfId="1016" priority="97">
      <formula>$B$14="Recovery"</formula>
    </cfRule>
  </conditionalFormatting>
  <conditionalFormatting sqref="A15:F15">
    <cfRule type="expression" dxfId="1015" priority="93">
      <formula>$B$15="Threshold"</formula>
    </cfRule>
    <cfRule type="expression" dxfId="1014" priority="90">
      <formula>$B$15="Stretching and Mobility"</formula>
    </cfRule>
    <cfRule type="expression" dxfId="1013" priority="91">
      <formula>$B$15="Aerobic Running"</formula>
    </cfRule>
    <cfRule type="expression" dxfId="1012" priority="92">
      <formula>$B$15="Turnover and Pace Work"</formula>
    </cfRule>
    <cfRule type="expression" dxfId="1011" priority="89">
      <formula>$B$15="Recovery"</formula>
    </cfRule>
    <cfRule type="expression" dxfId="1010" priority="94">
      <formula>$B$15="VO2 Max"</formula>
    </cfRule>
    <cfRule type="expression" dxfId="1009" priority="95">
      <formula>$B$15="Lactate Tolerance"</formula>
    </cfRule>
    <cfRule type="expression" dxfId="1008" priority="96">
      <formula>$B$15="Speed Development"</formula>
    </cfRule>
  </conditionalFormatting>
  <conditionalFormatting sqref="A16:F16">
    <cfRule type="expression" dxfId="1007" priority="88">
      <formula>$B$16="Speed Development"</formula>
    </cfRule>
    <cfRule type="expression" dxfId="1006" priority="87">
      <formula>$B$16="Lactate Tolerance"</formula>
    </cfRule>
    <cfRule type="expression" dxfId="1005" priority="86">
      <formula>$B$16="VO2 Max"</formula>
    </cfRule>
    <cfRule type="expression" dxfId="1004" priority="85">
      <formula>$B$16="Threshold"</formula>
    </cfRule>
    <cfRule type="expression" dxfId="1003" priority="84">
      <formula>$B$16="Turnover and Pace Work"</formula>
    </cfRule>
    <cfRule type="expression" dxfId="1002" priority="83">
      <formula>$B$16="Aerobic Running"</formula>
    </cfRule>
    <cfRule type="expression" dxfId="1001" priority="82">
      <formula>$B$16="Stretching and Mobility"</formula>
    </cfRule>
    <cfRule type="expression" dxfId="1000" priority="81">
      <formula>$B$16="Recovery"</formula>
    </cfRule>
  </conditionalFormatting>
  <conditionalFormatting sqref="A17:F17">
    <cfRule type="expression" dxfId="999" priority="80">
      <formula>$B$17="Speed Development"</formula>
    </cfRule>
    <cfRule type="expression" dxfId="998" priority="79">
      <formula>$B$17="Lactate Tolerance"</formula>
    </cfRule>
    <cfRule type="expression" dxfId="997" priority="78">
      <formula>$B$17="VO2 Max"</formula>
    </cfRule>
    <cfRule type="expression" dxfId="996" priority="77">
      <formula>$B$17="Threshold"</formula>
    </cfRule>
    <cfRule type="expression" dxfId="995" priority="76">
      <formula>$B$17="Turnover and Pace Work"</formula>
    </cfRule>
    <cfRule type="expression" dxfId="994" priority="75">
      <formula>$B$17="Aerobic Running"</formula>
    </cfRule>
    <cfRule type="expression" dxfId="993" priority="74">
      <formula>$B$17="Stretching and Mobility"</formula>
    </cfRule>
    <cfRule type="expression" dxfId="992" priority="73">
      <formula>$B$17="Recovery"</formula>
    </cfRule>
  </conditionalFormatting>
  <conditionalFormatting sqref="A18:F18">
    <cfRule type="expression" dxfId="991" priority="72">
      <formula>$B$18="Speed Development"</formula>
    </cfRule>
    <cfRule type="expression" dxfId="990" priority="71">
      <formula>$B$18="Lactate Tolerance"</formula>
    </cfRule>
    <cfRule type="expression" dxfId="989" priority="70">
      <formula>$B$18="VO2 Max"</formula>
    </cfRule>
    <cfRule type="expression" dxfId="988" priority="69">
      <formula>$B$18="Threshold"</formula>
    </cfRule>
    <cfRule type="expression" dxfId="987" priority="68">
      <formula>$B$18="Turnover and Pace Work"</formula>
    </cfRule>
    <cfRule type="expression" dxfId="986" priority="67">
      <formula>$B$18="Aerobic Running"</formula>
    </cfRule>
    <cfRule type="expression" dxfId="985" priority="66">
      <formula>$B$18="Stretching and Mobility"</formula>
    </cfRule>
    <cfRule type="expression" dxfId="984" priority="65">
      <formula>$B$18="Recovery"</formula>
    </cfRule>
  </conditionalFormatting>
  <conditionalFormatting sqref="A19:F19">
    <cfRule type="expression" dxfId="983" priority="64">
      <formula>$B$19="Speed Development"</formula>
    </cfRule>
    <cfRule type="expression" dxfId="982" priority="63">
      <formula>$B$19="Lactate Tolerance"</formula>
    </cfRule>
    <cfRule type="expression" dxfId="981" priority="62">
      <formula>$B$19="VO2 Max"</formula>
    </cfRule>
    <cfRule type="expression" dxfId="980" priority="61">
      <formula>$B$19="Threshold"</formula>
    </cfRule>
    <cfRule type="expression" dxfId="979" priority="60">
      <formula>$B$19="Turnover and Pace Work"</formula>
    </cfRule>
    <cfRule type="expression" dxfId="978" priority="59">
      <formula>$B$19="Aerobic Running"</formula>
    </cfRule>
    <cfRule type="expression" dxfId="977" priority="58">
      <formula>$B$19="Stretching and Mobility"</formula>
    </cfRule>
    <cfRule type="expression" dxfId="976" priority="57">
      <formula>$B$19="Recovery"</formula>
    </cfRule>
  </conditionalFormatting>
  <conditionalFormatting sqref="A20:F20">
    <cfRule type="expression" dxfId="975" priority="56">
      <formula>$B$20="Speed Development"</formula>
    </cfRule>
    <cfRule type="expression" dxfId="974" priority="55">
      <formula>$B$20="Lactate Tolerance"</formula>
    </cfRule>
    <cfRule type="expression" dxfId="973" priority="54">
      <formula>$B$20="VO2 Max"</formula>
    </cfRule>
    <cfRule type="expression" dxfId="972" priority="53">
      <formula>$B$20="Threshold"</formula>
    </cfRule>
    <cfRule type="expression" dxfId="971" priority="52">
      <formula>$B$20="Turnover and Pace Work"</formula>
    </cfRule>
    <cfRule type="expression" dxfId="970" priority="51">
      <formula>$B$20="Aerobic Running"</formula>
    </cfRule>
    <cfRule type="expression" dxfId="969" priority="50">
      <formula>$B$20="Stretching and Mobility"</formula>
    </cfRule>
    <cfRule type="expression" dxfId="968" priority="49">
      <formula>$B$20="Recovery"</formula>
    </cfRule>
  </conditionalFormatting>
  <conditionalFormatting sqref="A21:F21">
    <cfRule type="expression" dxfId="967" priority="48">
      <formula>$B$21="Speed Development"</formula>
    </cfRule>
    <cfRule type="expression" dxfId="966" priority="47">
      <formula>$B$21="Lactate Tolerance"</formula>
    </cfRule>
    <cfRule type="expression" dxfId="965" priority="46">
      <formula>$B$21="VO2 Max"</formula>
    </cfRule>
    <cfRule type="expression" dxfId="964" priority="45">
      <formula>$B$21="Threshold"</formula>
    </cfRule>
    <cfRule type="expression" dxfId="963" priority="44">
      <formula>$B$21="Turnover and Pace Work"</formula>
    </cfRule>
    <cfRule type="expression" dxfId="962" priority="43">
      <formula>$B$21="Aerobic Running"</formula>
    </cfRule>
    <cfRule type="expression" dxfId="961" priority="42">
      <formula>$B$21="Stretching and Mobility"</formula>
    </cfRule>
    <cfRule type="expression" dxfId="960" priority="41">
      <formula>$B$21="Recovery"</formula>
    </cfRule>
  </conditionalFormatting>
  <conditionalFormatting sqref="A22:F22">
    <cfRule type="expression" dxfId="959" priority="40">
      <formula>$B$22="Speed Development"</formula>
    </cfRule>
    <cfRule type="expression" dxfId="958" priority="39">
      <formula>$B$22="Lactate Tolerance"</formula>
    </cfRule>
    <cfRule type="expression" dxfId="957" priority="38">
      <formula>$B$22="VO2 Max"</formula>
    </cfRule>
    <cfRule type="expression" dxfId="956" priority="37">
      <formula>$B$22="Threshold"</formula>
    </cfRule>
    <cfRule type="expression" dxfId="955" priority="36">
      <formula>$B$22="Turnover and Pace Work"</formula>
    </cfRule>
    <cfRule type="expression" dxfId="954" priority="35">
      <formula>$B$22="Aerobic Running"</formula>
    </cfRule>
    <cfRule type="expression" dxfId="953" priority="34">
      <formula>$B$22="Stretching and Mobility"</formula>
    </cfRule>
    <cfRule type="expression" dxfId="952" priority="33">
      <formula>$B$22="Recovery"</formula>
    </cfRule>
  </conditionalFormatting>
  <conditionalFormatting sqref="A23:F23">
    <cfRule type="expression" dxfId="951" priority="32">
      <formula>$B$23="Speed Development"</formula>
    </cfRule>
    <cfRule type="expression" dxfId="950" priority="31">
      <formula>$B$23="Lactate Tolerance"</formula>
    </cfRule>
    <cfRule type="expression" dxfId="949" priority="30">
      <formula>$B$23="VO2 Max"</formula>
    </cfRule>
    <cfRule type="expression" dxfId="948" priority="29">
      <formula>$B$23="Threshold"</formula>
    </cfRule>
    <cfRule type="expression" dxfId="947" priority="28">
      <formula>$B$23="Turnover and Pace Work"</formula>
    </cfRule>
    <cfRule type="expression" dxfId="946" priority="27">
      <formula>$B$23="Aerobic Running"</formula>
    </cfRule>
    <cfRule type="expression" dxfId="945" priority="26">
      <formula>$B$23="Stretching and Mobility"</formula>
    </cfRule>
    <cfRule type="expression" dxfId="944" priority="25">
      <formula>$B$23="Recovery"</formula>
    </cfRule>
  </conditionalFormatting>
  <conditionalFormatting sqref="A24:F24">
    <cfRule type="expression" dxfId="943" priority="24">
      <formula>$B$24="Speed Development"</formula>
    </cfRule>
    <cfRule type="expression" dxfId="942" priority="23">
      <formula>$B$24="Lactate Tolerance"</formula>
    </cfRule>
    <cfRule type="expression" dxfId="941" priority="22">
      <formula>$B$24="VO2 Max"</formula>
    </cfRule>
    <cfRule type="expression" dxfId="940" priority="21">
      <formula>$B$24="Threshold"</formula>
    </cfRule>
    <cfRule type="expression" dxfId="939" priority="20">
      <formula>$B$24="Turnover and Pace Work"</formula>
    </cfRule>
    <cfRule type="expression" dxfId="938" priority="19">
      <formula>$B$24="Aerobic Running"</formula>
    </cfRule>
    <cfRule type="expression" dxfId="937" priority="18">
      <formula>$B$24="Stretching and Mobility"</formula>
    </cfRule>
    <cfRule type="expression" dxfId="936" priority="17">
      <formula>$B$24="Recovery"</formula>
    </cfRule>
  </conditionalFormatting>
  <conditionalFormatting sqref="A25:F25">
    <cfRule type="expression" dxfId="935" priority="16">
      <formula>$B$25="Speed Development"</formula>
    </cfRule>
    <cfRule type="expression" dxfId="934" priority="15">
      <formula>$B$25="Lactate Tolerance"</formula>
    </cfRule>
    <cfRule type="expression" dxfId="933" priority="14">
      <formula>$B$25="VO2 Max"</formula>
    </cfRule>
    <cfRule type="expression" dxfId="932" priority="13">
      <formula>$B$25="Threshold"</formula>
    </cfRule>
    <cfRule type="expression" dxfId="931" priority="12">
      <formula>$B$25="Turnover and Pace Work"</formula>
    </cfRule>
    <cfRule type="expression" dxfId="930" priority="11">
      <formula>$B$25="Aerobic Running"</formula>
    </cfRule>
    <cfRule type="expression" dxfId="929" priority="10">
      <formula>$B$25="Stretching and Mobility"</formula>
    </cfRule>
    <cfRule type="expression" dxfId="928" priority="9">
      <formula>$B$25="Recovery"</formula>
    </cfRule>
  </conditionalFormatting>
  <conditionalFormatting sqref="A26:F26">
    <cfRule type="expression" dxfId="927" priority="8">
      <formula>$B$26="Speed Development"</formula>
    </cfRule>
    <cfRule type="expression" dxfId="926" priority="7">
      <formula>$B$26="Lactate Tolerance"</formula>
    </cfRule>
    <cfRule type="expression" dxfId="925" priority="6">
      <formula>$B$26="VO2 Max"</formula>
    </cfRule>
    <cfRule type="expression" dxfId="924" priority="5">
      <formula>$B$26="Threshold"</formula>
    </cfRule>
    <cfRule type="expression" dxfId="923" priority="4">
      <formula>$B$26="Turnover and Pace Work"</formula>
    </cfRule>
    <cfRule type="expression" dxfId="922" priority="3">
      <formula>$B$26="Aerobic Running"</formula>
    </cfRule>
    <cfRule type="expression" dxfId="921" priority="2">
      <formula>$B$26="Stretching and Mobility"</formula>
    </cfRule>
    <cfRule type="expression" dxfId="92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C2" sqref="C2:C3"/>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45720</v>
      </c>
      <c r="C1" s="20" t="s">
        <v>97</v>
      </c>
      <c r="D1" s="20" t="s">
        <v>171</v>
      </c>
      <c r="E1" s="92" t="s">
        <v>60</v>
      </c>
      <c r="F1" s="92"/>
      <c r="G1" s="90" t="s">
        <v>53</v>
      </c>
      <c r="H1" s="91"/>
      <c r="I1" s="91"/>
      <c r="J1" s="91"/>
      <c r="L1" s="25" t="s">
        <v>39</v>
      </c>
      <c r="M1" s="89" t="s">
        <v>11</v>
      </c>
      <c r="N1" s="89"/>
      <c r="O1" s="89"/>
      <c r="P1" s="89"/>
      <c r="Q1" s="89" t="s">
        <v>12</v>
      </c>
      <c r="R1" s="89"/>
      <c r="S1" s="89"/>
      <c r="T1" s="89"/>
    </row>
    <row r="2" spans="1:20" ht="25" customHeight="1">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25" customHeight="1">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188</v>
      </c>
      <c r="F4" s="85"/>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0.88235294117647056</v>
      </c>
      <c r="T4" s="39">
        <f>R4/$R$10</f>
        <v>0.93023255813953487</v>
      </c>
    </row>
    <row r="5" spans="1:20" ht="50" customHeight="1">
      <c r="A5" s="6" t="s">
        <v>42</v>
      </c>
      <c r="B5" s="6" t="str">
        <f>_xlfn.XLOOKUP(A5,TrainingTable[Training Component],TrainingTable[Category of Training Stimulus],"")</f>
        <v>Turnover and Pace Work</v>
      </c>
      <c r="C5" s="6" t="s">
        <v>55</v>
      </c>
      <c r="D5" s="6" t="s">
        <v>64</v>
      </c>
      <c r="E5" s="85" t="s">
        <v>196</v>
      </c>
      <c r="F5" s="85"/>
      <c r="G5" s="23">
        <v>2</v>
      </c>
      <c r="H5" s="23">
        <v>2</v>
      </c>
      <c r="I5" s="23">
        <v>0.4</v>
      </c>
      <c r="J5" s="23">
        <v>0.6</v>
      </c>
      <c r="K5" s="2"/>
      <c r="L5" s="29" t="s">
        <v>34</v>
      </c>
      <c r="M5" s="30">
        <f>SUMIF($B$4:$B$26,"Turnover and Pace Work",G4:G26)</f>
        <v>2</v>
      </c>
      <c r="N5" s="30">
        <f>SUMIF($B$4:$B$26,"Turnover and Pace Work",H4:H26)</f>
        <v>2</v>
      </c>
      <c r="O5" s="40">
        <f t="shared" si="0"/>
        <v>6.25E-2</v>
      </c>
      <c r="P5" s="40">
        <f t="shared" si="1"/>
        <v>3.2258064516129031E-2</v>
      </c>
      <c r="Q5" s="30">
        <f>SUMIF($B$4:$B$26,"Turnover and Pace Work",I4:I26)</f>
        <v>0.4</v>
      </c>
      <c r="R5" s="30">
        <f>SUMIF($B$4:$B$26,"Turnover and Pace Work",J4:J26)</f>
        <v>0.6</v>
      </c>
      <c r="S5" s="40">
        <f t="shared" ref="S5:S10" si="2">Q5/$Q$10</f>
        <v>0.11764705882352942</v>
      </c>
      <c r="T5" s="40">
        <f t="shared" ref="T5:T10" si="3">R5/$R$10</f>
        <v>6.9767441860465115E-2</v>
      </c>
    </row>
    <row r="6" spans="1:20" ht="50" customHeight="1">
      <c r="A6" s="6" t="s">
        <v>21</v>
      </c>
      <c r="B6" s="6" t="str">
        <f>_xlfn.XLOOKUP(A6,TrainingTable[Training Component],TrainingTable[Category of Training Stimulus],"")</f>
        <v>Stretching and Mobility</v>
      </c>
      <c r="C6" s="6" t="s">
        <v>55</v>
      </c>
      <c r="D6" s="6" t="s">
        <v>64</v>
      </c>
      <c r="E6" s="85" t="s">
        <v>189</v>
      </c>
      <c r="F6" s="85"/>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32</v>
      </c>
      <c r="N10" s="23">
        <f>SUM(N4:N9)</f>
        <v>62</v>
      </c>
      <c r="O10" s="47">
        <f>M10/M10</f>
        <v>1</v>
      </c>
      <c r="P10" s="45">
        <f t="shared" si="1"/>
        <v>1</v>
      </c>
      <c r="Q10" s="23">
        <f>SUM(Q4:Q9)</f>
        <v>3.4</v>
      </c>
      <c r="R10" s="23">
        <f>SUM(R4:R9)</f>
        <v>8.6</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919" priority="184">
      <formula>$B$4="Speed Development"</formula>
    </cfRule>
    <cfRule type="expression" dxfId="918" priority="183">
      <formula>$B$4="Lactate Tolerance"</formula>
    </cfRule>
    <cfRule type="expression" dxfId="917" priority="182">
      <formula>$B$4="VO2 Max"</formula>
    </cfRule>
    <cfRule type="expression" dxfId="916" priority="181">
      <formula>$B$4="Threshold"</formula>
    </cfRule>
    <cfRule type="expression" dxfId="915" priority="180">
      <formula>$B$4="Turnover and Pace Work"</formula>
    </cfRule>
    <cfRule type="expression" dxfId="914" priority="179">
      <formula>$B$4="Aerobic Running"</formula>
    </cfRule>
    <cfRule type="expression" dxfId="913" priority="178">
      <formula>$B$4="Stretching and Mobility"</formula>
    </cfRule>
    <cfRule type="expression" dxfId="912" priority="177">
      <formula>$B$4="Recovery"</formula>
    </cfRule>
  </conditionalFormatting>
  <conditionalFormatting sqref="A5:F5">
    <cfRule type="expression" dxfId="911" priority="176">
      <formula>$B$5="Speed Development"</formula>
    </cfRule>
    <cfRule type="expression" dxfId="910" priority="175">
      <formula>$B$5="Lactate Tolerance"</formula>
    </cfRule>
    <cfRule type="expression" dxfId="909" priority="174">
      <formula>$B$5="VO2 Max"</formula>
    </cfRule>
    <cfRule type="expression" dxfId="908" priority="173">
      <formula>$B$5="Threshold"</formula>
    </cfRule>
    <cfRule type="expression" dxfId="907" priority="172">
      <formula>$B$5="Turnover and Pace Work"</formula>
    </cfRule>
    <cfRule type="expression" dxfId="906" priority="171">
      <formula>$B$5="Aerobic Running"</formula>
    </cfRule>
    <cfRule type="expression" dxfId="905" priority="170">
      <formula>$B$5="Stretching and Mobility"</formula>
    </cfRule>
    <cfRule type="expression" dxfId="904" priority="169">
      <formula>$B$5="Recovery"</formula>
    </cfRule>
  </conditionalFormatting>
  <conditionalFormatting sqref="A6:F6">
    <cfRule type="expression" dxfId="903" priority="164">
      <formula>$B$6="Turnover and Pace Work"</formula>
    </cfRule>
    <cfRule type="expression" dxfId="902" priority="167">
      <formula>$B$6="Lactate Tolerance"</formula>
    </cfRule>
    <cfRule type="expression" dxfId="901" priority="166">
      <formula>$B$6="VO2 Max"</formula>
    </cfRule>
    <cfRule type="expression" dxfId="900" priority="165">
      <formula>$B$6="Threshold"</formula>
    </cfRule>
    <cfRule type="expression" dxfId="899" priority="168">
      <formula>$B$6="Speed Development"</formula>
    </cfRule>
    <cfRule type="expression" dxfId="898" priority="163">
      <formula>$B$6="Aerobic Running"</formula>
    </cfRule>
    <cfRule type="expression" dxfId="897" priority="162">
      <formula>$B$6="Stretching and Mobility"</formula>
    </cfRule>
    <cfRule type="expression" dxfId="896" priority="161">
      <formula>$B$6="Recovery"</formula>
    </cfRule>
  </conditionalFormatting>
  <conditionalFormatting sqref="A7:F7">
    <cfRule type="expression" dxfId="895" priority="160">
      <formula>$B$7="Speed Development"</formula>
    </cfRule>
    <cfRule type="expression" dxfId="894" priority="159">
      <formula>$B$7="Lactate Tolerance"</formula>
    </cfRule>
    <cfRule type="expression" dxfId="893" priority="158">
      <formula>$B$7="VO2 Max"</formula>
    </cfRule>
    <cfRule type="expression" dxfId="892" priority="157">
      <formula>$B$7="Threshold"</formula>
    </cfRule>
    <cfRule type="expression" dxfId="891" priority="156">
      <formula>$B$7="Turnover and Pace Work"</formula>
    </cfRule>
    <cfRule type="expression" dxfId="890" priority="155">
      <formula>$B$7="Aerobic Running"</formula>
    </cfRule>
    <cfRule type="expression" dxfId="889" priority="154">
      <formula>$B$7="Stretching and Mobility"</formula>
    </cfRule>
    <cfRule type="expression" dxfId="888" priority="153">
      <formula>$B$7="Recovery"</formula>
    </cfRule>
  </conditionalFormatting>
  <conditionalFormatting sqref="A8:F8">
    <cfRule type="expression" dxfId="887" priority="152">
      <formula>$B$8="Speed Development"</formula>
    </cfRule>
    <cfRule type="expression" dxfId="886" priority="151">
      <formula>$B$8="Lactate Tolerance"</formula>
    </cfRule>
    <cfRule type="expression" dxfId="885" priority="150">
      <formula>$B$8="VO2 Max"</formula>
    </cfRule>
    <cfRule type="expression" dxfId="884" priority="149">
      <formula>$B$8="Threshold"</formula>
    </cfRule>
    <cfRule type="expression" dxfId="883" priority="148">
      <formula>$B$8="Turnover and Pace Work"</formula>
    </cfRule>
    <cfRule type="expression" dxfId="882" priority="147">
      <formula>$B$8="Aerobic Running"</formula>
    </cfRule>
    <cfRule type="expression" dxfId="881" priority="146">
      <formula>$B$8="Stretching and Mobility"</formula>
    </cfRule>
    <cfRule type="expression" dxfId="880" priority="145">
      <formula>$B$8="Recovery"</formula>
    </cfRule>
  </conditionalFormatting>
  <conditionalFormatting sqref="A9:F9">
    <cfRule type="expression" dxfId="879" priority="140">
      <formula>$B$9="Turnover and Pace Work"</formula>
    </cfRule>
    <cfRule type="expression" dxfId="878" priority="143">
      <formula>$B$9="Lactate Tolerance"</formula>
    </cfRule>
    <cfRule type="expression" dxfId="877" priority="142">
      <formula>$B$9="VO2 Max"</formula>
    </cfRule>
    <cfRule type="expression" dxfId="876" priority="141">
      <formula>$B$9="Threshold"</formula>
    </cfRule>
    <cfRule type="expression" dxfId="875" priority="144">
      <formula>$B$9="Speed Development"</formula>
    </cfRule>
    <cfRule type="expression" dxfId="874" priority="139">
      <formula>$B$9="Aerobic Running"</formula>
    </cfRule>
    <cfRule type="expression" dxfId="873" priority="138">
      <formula>$B$9="Stretching and Mobility"</formula>
    </cfRule>
    <cfRule type="expression" dxfId="872" priority="137">
      <formula>$B$9="Recovery"</formula>
    </cfRule>
  </conditionalFormatting>
  <conditionalFormatting sqref="A10:F10">
    <cfRule type="expression" dxfId="871" priority="136">
      <formula>$B$10="Speed Development"</formula>
    </cfRule>
    <cfRule type="expression" dxfId="870" priority="135">
      <formula>$B$10="Lactate Tolerance"</formula>
    </cfRule>
    <cfRule type="expression" dxfId="869" priority="134">
      <formula>$B$10="VO2 Max"</formula>
    </cfRule>
    <cfRule type="expression" dxfId="868" priority="133">
      <formula>$B$10="Threshold"</formula>
    </cfRule>
    <cfRule type="expression" dxfId="867" priority="132">
      <formula>$B$10="Turnover and Pace Work"</formula>
    </cfRule>
    <cfRule type="expression" dxfId="866" priority="131">
      <formula>$B$10="Aerobic Running"</formula>
    </cfRule>
    <cfRule type="expression" dxfId="865" priority="130">
      <formula>$B$10="Stretching and Mobility"</formula>
    </cfRule>
    <cfRule type="expression" dxfId="864" priority="129">
      <formula>$B$10="Recovery"</formula>
    </cfRule>
  </conditionalFormatting>
  <conditionalFormatting sqref="A11:F11">
    <cfRule type="expression" dxfId="863" priority="128">
      <formula>$B$11="Speed Development"</formula>
    </cfRule>
    <cfRule type="expression" dxfId="862" priority="127">
      <formula>$B$11="Lactate Tolerance"</formula>
    </cfRule>
    <cfRule type="expression" dxfId="861" priority="126">
      <formula>$B$11="VO2 Max"</formula>
    </cfRule>
    <cfRule type="expression" dxfId="860" priority="125">
      <formula>$B$11="Threshold"</formula>
    </cfRule>
    <cfRule type="expression" dxfId="859" priority="124">
      <formula>$B$11="Turnover and Pace Work"</formula>
    </cfRule>
    <cfRule type="expression" dxfId="858" priority="123">
      <formula>$B$11="Aerobic Running"</formula>
    </cfRule>
    <cfRule type="expression" dxfId="857" priority="122">
      <formula>$B$11="Stretching and Mobility"</formula>
    </cfRule>
    <cfRule type="expression" dxfId="856" priority="121">
      <formula>$B$11="Recovery"</formula>
    </cfRule>
  </conditionalFormatting>
  <conditionalFormatting sqref="A12:F12">
    <cfRule type="expression" dxfId="855" priority="120">
      <formula>$B$12="Speed Development"</formula>
    </cfRule>
    <cfRule type="expression" dxfId="854" priority="119">
      <formula>$B$12="Lactate Tolerance"</formula>
    </cfRule>
    <cfRule type="expression" dxfId="853" priority="118">
      <formula>$B$12="VO2 Max"</formula>
    </cfRule>
    <cfRule type="expression" dxfId="852" priority="117">
      <formula>$B$12="Threshold"</formula>
    </cfRule>
    <cfRule type="expression" dxfId="851" priority="116">
      <formula>$B$12="Turnover and Pace Work"</formula>
    </cfRule>
    <cfRule type="expression" dxfId="850" priority="115">
      <formula>$B$12="Aerobic Running"</formula>
    </cfRule>
    <cfRule type="expression" dxfId="849" priority="114">
      <formula>$B$12="Stretching and Mobility"</formula>
    </cfRule>
    <cfRule type="expression" dxfId="848" priority="113">
      <formula>$B$12="Recovery"</formula>
    </cfRule>
  </conditionalFormatting>
  <conditionalFormatting sqref="A13:F13">
    <cfRule type="expression" dxfId="847" priority="112">
      <formula>$B$13="Speed Development"</formula>
    </cfRule>
    <cfRule type="expression" dxfId="846" priority="111">
      <formula>$B$13="Lactate Tolerance"</formula>
    </cfRule>
    <cfRule type="expression" dxfId="845" priority="110">
      <formula>$B$13="VO2 Max"</formula>
    </cfRule>
    <cfRule type="expression" dxfId="844" priority="109">
      <formula>$B$13="Threshold"</formula>
    </cfRule>
    <cfRule type="expression" dxfId="843" priority="108">
      <formula>$B$13="Turnover and Pace Work"</formula>
    </cfRule>
    <cfRule type="expression" dxfId="842" priority="107">
      <formula>$B$13="Aerobic Running"</formula>
    </cfRule>
    <cfRule type="expression" dxfId="841" priority="106">
      <formula>$B$13="Stretching and Mobility"</formula>
    </cfRule>
    <cfRule type="expression" dxfId="840" priority="105">
      <formula>$B$13="Recovery"</formula>
    </cfRule>
  </conditionalFormatting>
  <conditionalFormatting sqref="A14:F14">
    <cfRule type="expression" dxfId="839" priority="104">
      <formula>$B$14="Speed Development"</formula>
    </cfRule>
    <cfRule type="expression" dxfId="838" priority="103">
      <formula>$B$14="Lactate Tolerance"</formula>
    </cfRule>
    <cfRule type="expression" dxfId="837" priority="102">
      <formula>$B$14="VO2 Max"</formula>
    </cfRule>
    <cfRule type="expression" dxfId="836" priority="101">
      <formula>$B$14="Threshold"</formula>
    </cfRule>
    <cfRule type="expression" dxfId="835" priority="100">
      <formula>$B$14="Turnover and Pace Work"</formula>
    </cfRule>
    <cfRule type="expression" dxfId="834" priority="99">
      <formula>$B$14="Aerobic Running"</formula>
    </cfRule>
    <cfRule type="expression" dxfId="833" priority="98">
      <formula>$B$14="Stretching and Mobility"</formula>
    </cfRule>
    <cfRule type="expression" dxfId="832" priority="97">
      <formula>$B$14="Recovery"</formula>
    </cfRule>
  </conditionalFormatting>
  <conditionalFormatting sqref="A15:F15">
    <cfRule type="expression" dxfId="831" priority="93">
      <formula>$B$15="Threshold"</formula>
    </cfRule>
    <cfRule type="expression" dxfId="830" priority="90">
      <formula>$B$15="Stretching and Mobility"</formula>
    </cfRule>
    <cfRule type="expression" dxfId="829" priority="91">
      <formula>$B$15="Aerobic Running"</formula>
    </cfRule>
    <cfRule type="expression" dxfId="828" priority="92">
      <formula>$B$15="Turnover and Pace Work"</formula>
    </cfRule>
    <cfRule type="expression" dxfId="827" priority="89">
      <formula>$B$15="Recovery"</formula>
    </cfRule>
    <cfRule type="expression" dxfId="826" priority="94">
      <formula>$B$15="VO2 Max"</formula>
    </cfRule>
    <cfRule type="expression" dxfId="825" priority="95">
      <formula>$B$15="Lactate Tolerance"</formula>
    </cfRule>
    <cfRule type="expression" dxfId="824" priority="96">
      <formula>$B$15="Speed Development"</formula>
    </cfRule>
  </conditionalFormatting>
  <conditionalFormatting sqref="A16:F16">
    <cfRule type="expression" dxfId="823" priority="88">
      <formula>$B$16="Speed Development"</formula>
    </cfRule>
    <cfRule type="expression" dxfId="822" priority="87">
      <formula>$B$16="Lactate Tolerance"</formula>
    </cfRule>
    <cfRule type="expression" dxfId="821" priority="86">
      <formula>$B$16="VO2 Max"</formula>
    </cfRule>
    <cfRule type="expression" dxfId="820" priority="85">
      <formula>$B$16="Threshold"</formula>
    </cfRule>
    <cfRule type="expression" dxfId="819" priority="84">
      <formula>$B$16="Turnover and Pace Work"</formula>
    </cfRule>
    <cfRule type="expression" dxfId="818" priority="83">
      <formula>$B$16="Aerobic Running"</formula>
    </cfRule>
    <cfRule type="expression" dxfId="817" priority="82">
      <formula>$B$16="Stretching and Mobility"</formula>
    </cfRule>
    <cfRule type="expression" dxfId="816" priority="81">
      <formula>$B$16="Recovery"</formula>
    </cfRule>
  </conditionalFormatting>
  <conditionalFormatting sqref="A17:F17">
    <cfRule type="expression" dxfId="815" priority="80">
      <formula>$B$17="Speed Development"</formula>
    </cfRule>
    <cfRule type="expression" dxfId="814" priority="79">
      <formula>$B$17="Lactate Tolerance"</formula>
    </cfRule>
    <cfRule type="expression" dxfId="813" priority="78">
      <formula>$B$17="VO2 Max"</formula>
    </cfRule>
    <cfRule type="expression" dxfId="812" priority="77">
      <formula>$B$17="Threshold"</formula>
    </cfRule>
    <cfRule type="expression" dxfId="811" priority="76">
      <formula>$B$17="Turnover and Pace Work"</formula>
    </cfRule>
    <cfRule type="expression" dxfId="810" priority="75">
      <formula>$B$17="Aerobic Running"</formula>
    </cfRule>
    <cfRule type="expression" dxfId="809" priority="74">
      <formula>$B$17="Stretching and Mobility"</formula>
    </cfRule>
    <cfRule type="expression" dxfId="808" priority="73">
      <formula>$B$17="Recovery"</formula>
    </cfRule>
  </conditionalFormatting>
  <conditionalFormatting sqref="A18:F18">
    <cfRule type="expression" dxfId="807" priority="72">
      <formula>$B$18="Speed Development"</formula>
    </cfRule>
    <cfRule type="expression" dxfId="806" priority="71">
      <formula>$B$18="Lactate Tolerance"</formula>
    </cfRule>
    <cfRule type="expression" dxfId="805" priority="70">
      <formula>$B$18="VO2 Max"</formula>
    </cfRule>
    <cfRule type="expression" dxfId="804" priority="69">
      <formula>$B$18="Threshold"</formula>
    </cfRule>
    <cfRule type="expression" dxfId="803" priority="68">
      <formula>$B$18="Turnover and Pace Work"</formula>
    </cfRule>
    <cfRule type="expression" dxfId="802" priority="67">
      <formula>$B$18="Aerobic Running"</formula>
    </cfRule>
    <cfRule type="expression" dxfId="801" priority="66">
      <formula>$B$18="Stretching and Mobility"</formula>
    </cfRule>
    <cfRule type="expression" dxfId="800" priority="65">
      <formula>$B$18="Recovery"</formula>
    </cfRule>
  </conditionalFormatting>
  <conditionalFormatting sqref="A19:F19">
    <cfRule type="expression" dxfId="799" priority="64">
      <formula>$B$19="Speed Development"</formula>
    </cfRule>
    <cfRule type="expression" dxfId="798" priority="63">
      <formula>$B$19="Lactate Tolerance"</formula>
    </cfRule>
    <cfRule type="expression" dxfId="797" priority="62">
      <formula>$B$19="VO2 Max"</formula>
    </cfRule>
    <cfRule type="expression" dxfId="796" priority="61">
      <formula>$B$19="Threshold"</formula>
    </cfRule>
    <cfRule type="expression" dxfId="795" priority="60">
      <formula>$B$19="Turnover and Pace Work"</formula>
    </cfRule>
    <cfRule type="expression" dxfId="794" priority="59">
      <formula>$B$19="Aerobic Running"</formula>
    </cfRule>
    <cfRule type="expression" dxfId="793" priority="58">
      <formula>$B$19="Stretching and Mobility"</formula>
    </cfRule>
    <cfRule type="expression" dxfId="792" priority="57">
      <formula>$B$19="Recovery"</formula>
    </cfRule>
  </conditionalFormatting>
  <conditionalFormatting sqref="A20:F20">
    <cfRule type="expression" dxfId="791" priority="56">
      <formula>$B$20="Speed Development"</formula>
    </cfRule>
    <cfRule type="expression" dxfId="790" priority="55">
      <formula>$B$20="Lactate Tolerance"</formula>
    </cfRule>
    <cfRule type="expression" dxfId="789" priority="54">
      <formula>$B$20="VO2 Max"</formula>
    </cfRule>
    <cfRule type="expression" dxfId="788" priority="53">
      <formula>$B$20="Threshold"</formula>
    </cfRule>
    <cfRule type="expression" dxfId="787" priority="52">
      <formula>$B$20="Turnover and Pace Work"</formula>
    </cfRule>
    <cfRule type="expression" dxfId="786" priority="51">
      <formula>$B$20="Aerobic Running"</formula>
    </cfRule>
    <cfRule type="expression" dxfId="785" priority="50">
      <formula>$B$20="Stretching and Mobility"</formula>
    </cfRule>
    <cfRule type="expression" dxfId="784" priority="49">
      <formula>$B$20="Recovery"</formula>
    </cfRule>
  </conditionalFormatting>
  <conditionalFormatting sqref="A21:F21">
    <cfRule type="expression" dxfId="783" priority="48">
      <formula>$B$21="Speed Development"</formula>
    </cfRule>
    <cfRule type="expression" dxfId="782" priority="47">
      <formula>$B$21="Lactate Tolerance"</formula>
    </cfRule>
    <cfRule type="expression" dxfId="781" priority="46">
      <formula>$B$21="VO2 Max"</formula>
    </cfRule>
    <cfRule type="expression" dxfId="780" priority="45">
      <formula>$B$21="Threshold"</formula>
    </cfRule>
    <cfRule type="expression" dxfId="779" priority="44">
      <formula>$B$21="Turnover and Pace Work"</formula>
    </cfRule>
    <cfRule type="expression" dxfId="778" priority="43">
      <formula>$B$21="Aerobic Running"</formula>
    </cfRule>
    <cfRule type="expression" dxfId="777" priority="42">
      <formula>$B$21="Stretching and Mobility"</formula>
    </cfRule>
    <cfRule type="expression" dxfId="776" priority="41">
      <formula>$B$21="Recovery"</formula>
    </cfRule>
  </conditionalFormatting>
  <conditionalFormatting sqref="A22:F22">
    <cfRule type="expression" dxfId="775" priority="40">
      <formula>$B$22="Speed Development"</formula>
    </cfRule>
    <cfRule type="expression" dxfId="774" priority="39">
      <formula>$B$22="Lactate Tolerance"</formula>
    </cfRule>
    <cfRule type="expression" dxfId="773" priority="38">
      <formula>$B$22="VO2 Max"</formula>
    </cfRule>
    <cfRule type="expression" dxfId="772" priority="37">
      <formula>$B$22="Threshold"</formula>
    </cfRule>
    <cfRule type="expression" dxfId="771" priority="36">
      <formula>$B$22="Turnover and Pace Work"</formula>
    </cfRule>
    <cfRule type="expression" dxfId="770" priority="35">
      <formula>$B$22="Aerobic Running"</formula>
    </cfRule>
    <cfRule type="expression" dxfId="769" priority="34">
      <formula>$B$22="Stretching and Mobility"</formula>
    </cfRule>
    <cfRule type="expression" dxfId="768" priority="33">
      <formula>$B$22="Recovery"</formula>
    </cfRule>
  </conditionalFormatting>
  <conditionalFormatting sqref="A23:F23">
    <cfRule type="expression" dxfId="767" priority="32">
      <formula>$B$23="Speed Development"</formula>
    </cfRule>
    <cfRule type="expression" dxfId="766" priority="31">
      <formula>$B$23="Lactate Tolerance"</formula>
    </cfRule>
    <cfRule type="expression" dxfId="765" priority="30">
      <formula>$B$23="VO2 Max"</formula>
    </cfRule>
    <cfRule type="expression" dxfId="764" priority="29">
      <formula>$B$23="Threshold"</formula>
    </cfRule>
    <cfRule type="expression" dxfId="763" priority="28">
      <formula>$B$23="Turnover and Pace Work"</formula>
    </cfRule>
    <cfRule type="expression" dxfId="762" priority="27">
      <formula>$B$23="Aerobic Running"</formula>
    </cfRule>
    <cfRule type="expression" dxfId="761" priority="26">
      <formula>$B$23="Stretching and Mobility"</formula>
    </cfRule>
    <cfRule type="expression" dxfId="760" priority="25">
      <formula>$B$23="Recovery"</formula>
    </cfRule>
  </conditionalFormatting>
  <conditionalFormatting sqref="A24:F24">
    <cfRule type="expression" dxfId="759" priority="24">
      <formula>$B$24="Speed Development"</formula>
    </cfRule>
    <cfRule type="expression" dxfId="758" priority="23">
      <formula>$B$24="Lactate Tolerance"</formula>
    </cfRule>
    <cfRule type="expression" dxfId="757" priority="22">
      <formula>$B$24="VO2 Max"</formula>
    </cfRule>
    <cfRule type="expression" dxfId="756" priority="21">
      <formula>$B$24="Threshold"</formula>
    </cfRule>
    <cfRule type="expression" dxfId="755" priority="20">
      <formula>$B$24="Turnover and Pace Work"</formula>
    </cfRule>
    <cfRule type="expression" dxfId="754" priority="19">
      <formula>$B$24="Aerobic Running"</formula>
    </cfRule>
    <cfRule type="expression" dxfId="753" priority="18">
      <formula>$B$24="Stretching and Mobility"</formula>
    </cfRule>
    <cfRule type="expression" dxfId="752" priority="17">
      <formula>$B$24="Recovery"</formula>
    </cfRule>
  </conditionalFormatting>
  <conditionalFormatting sqref="A25:F25">
    <cfRule type="expression" dxfId="751" priority="16">
      <formula>$B$25="Speed Development"</formula>
    </cfRule>
    <cfRule type="expression" dxfId="750" priority="15">
      <formula>$B$25="Lactate Tolerance"</formula>
    </cfRule>
    <cfRule type="expression" dxfId="749" priority="14">
      <formula>$B$25="VO2 Max"</formula>
    </cfRule>
    <cfRule type="expression" dxfId="748" priority="13">
      <formula>$B$25="Threshold"</formula>
    </cfRule>
    <cfRule type="expression" dxfId="747" priority="12">
      <formula>$B$25="Turnover and Pace Work"</formula>
    </cfRule>
    <cfRule type="expression" dxfId="746" priority="11">
      <formula>$B$25="Aerobic Running"</formula>
    </cfRule>
    <cfRule type="expression" dxfId="745" priority="10">
      <formula>$B$25="Stretching and Mobility"</formula>
    </cfRule>
    <cfRule type="expression" dxfId="744" priority="9">
      <formula>$B$25="Recovery"</formula>
    </cfRule>
  </conditionalFormatting>
  <conditionalFormatting sqref="A26:F26">
    <cfRule type="expression" dxfId="743" priority="8">
      <formula>$B$26="Speed Development"</formula>
    </cfRule>
    <cfRule type="expression" dxfId="742" priority="7">
      <formula>$B$26="Lactate Tolerance"</formula>
    </cfRule>
    <cfRule type="expression" dxfId="741" priority="6">
      <formula>$B$26="VO2 Max"</formula>
    </cfRule>
    <cfRule type="expression" dxfId="740" priority="5">
      <formula>$B$26="Threshold"</formula>
    </cfRule>
    <cfRule type="expression" dxfId="739" priority="4">
      <formula>$B$26="Turnover and Pace Work"</formula>
    </cfRule>
    <cfRule type="expression" dxfId="738" priority="3">
      <formula>$B$26="Aerobic Running"</formula>
    </cfRule>
    <cfRule type="expression" dxfId="737" priority="2">
      <formula>$B$26="Stretching and Mobility"</formula>
    </cfRule>
    <cfRule type="expression" dxfId="736"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 type="list" allowBlank="1" showInputMessage="1" showErrorMessage="1" xr:uid="{29C30560-7250-5A48-8F56-DBDD72F79E69}">
          <x14:formula1>
            <xm:f>Data!$F$2:$F$50</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E5" sqref="E5:F5"/>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45721</v>
      </c>
      <c r="C1" s="20" t="s">
        <v>93</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188</v>
      </c>
      <c r="F4" s="85"/>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0.88235294117647056</v>
      </c>
      <c r="T4" s="39">
        <f>R4/$R$10</f>
        <v>0.95238095238095233</v>
      </c>
    </row>
    <row r="5" spans="1:20" ht="50" customHeight="1">
      <c r="A5" s="6" t="s">
        <v>190</v>
      </c>
      <c r="B5" s="6" t="str">
        <f>_xlfn.XLOOKUP(A5,TrainingTable[Training Component],TrainingTable[Category of Training Stimulus],"")</f>
        <v>Turnover and Pace Work</v>
      </c>
      <c r="C5" s="6" t="s">
        <v>55</v>
      </c>
      <c r="D5" s="6" t="s">
        <v>57</v>
      </c>
      <c r="E5" s="85" t="s">
        <v>191</v>
      </c>
      <c r="F5" s="85"/>
      <c r="G5" s="23">
        <v>2</v>
      </c>
      <c r="H5" s="23">
        <v>2</v>
      </c>
      <c r="I5" s="23">
        <v>0.4</v>
      </c>
      <c r="J5" s="23">
        <v>0.4</v>
      </c>
      <c r="K5" s="2"/>
      <c r="L5" s="29" t="s">
        <v>34</v>
      </c>
      <c r="M5" s="30">
        <f>SUMIF($B$4:$B$26,"Turnover and Pace Work",G4:G26)</f>
        <v>2</v>
      </c>
      <c r="N5" s="30">
        <f>SUMIF($B$4:$B$26,"Turnover and Pace Work",H4:H26)</f>
        <v>2</v>
      </c>
      <c r="O5" s="40">
        <f t="shared" si="0"/>
        <v>6.25E-2</v>
      </c>
      <c r="P5" s="40">
        <f t="shared" si="1"/>
        <v>3.2258064516129031E-2</v>
      </c>
      <c r="Q5" s="30">
        <f>SUMIF($B$4:$B$26,"Turnover and Pace Work",I4:I26)</f>
        <v>0.4</v>
      </c>
      <c r="R5" s="30">
        <f>SUMIF($B$4:$B$26,"Turnover and Pace Work",J4:J26)</f>
        <v>0.4</v>
      </c>
      <c r="S5" s="40">
        <f t="shared" ref="S5:S10" si="2">Q5/$Q$10</f>
        <v>0.11764705882352942</v>
      </c>
      <c r="T5" s="40">
        <f t="shared" ref="T5:T10" si="3">R5/$R$10</f>
        <v>4.7619047619047616E-2</v>
      </c>
    </row>
    <row r="6" spans="1:20" ht="50" customHeight="1">
      <c r="A6" s="6"/>
      <c r="B6" s="6" t="str">
        <f>_xlfn.XLOOKUP(A6,TrainingTable[Training Component],TrainingTable[Category of Training Stimulus],"")</f>
        <v/>
      </c>
      <c r="C6" s="6"/>
      <c r="D6" s="6"/>
      <c r="E6" s="85"/>
      <c r="F6" s="85"/>
      <c r="G6" s="23"/>
      <c r="H6" s="23"/>
      <c r="I6" s="23"/>
      <c r="J6" s="23"/>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32</v>
      </c>
      <c r="N10" s="23">
        <f>SUM(N4:N9)</f>
        <v>62</v>
      </c>
      <c r="O10" s="47">
        <f>M10/M10</f>
        <v>1</v>
      </c>
      <c r="P10" s="45">
        <f t="shared" si="1"/>
        <v>1</v>
      </c>
      <c r="Q10" s="23">
        <f>SUM(Q4:Q9)</f>
        <v>3.4</v>
      </c>
      <c r="R10" s="23">
        <f>SUM(R4:R9)</f>
        <v>8.4</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topLeftCell="A7" zoomScale="140" zoomScaleNormal="140" workbookViewId="0">
      <selection activeCell="A13" sqref="A13"/>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45722</v>
      </c>
      <c r="C1" s="20" t="s">
        <v>95</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5" t="s">
        <v>202</v>
      </c>
      <c r="F4" s="85"/>
      <c r="G4" s="23">
        <v>4</v>
      </c>
      <c r="H4" s="23">
        <v>8</v>
      </c>
      <c r="I4" s="23">
        <v>0.5</v>
      </c>
      <c r="J4" s="23">
        <v>0.75</v>
      </c>
      <c r="K4" s="2"/>
      <c r="L4" s="27" t="s">
        <v>69</v>
      </c>
      <c r="M4" s="28">
        <f>SUMIF($B$4:$B$26,"Aerobic Running",G4:G26)</f>
        <v>14</v>
      </c>
      <c r="N4" s="28">
        <f>SUMIF($B$4:$B$26,"Aerobic Running",H4:H26)</f>
        <v>23</v>
      </c>
      <c r="O4" s="39">
        <f t="shared" ref="O4:O9" si="0">M4/$M$10</f>
        <v>0.58333333333333337</v>
      </c>
      <c r="P4" s="39">
        <f t="shared" ref="P4:P10" si="1">N4/$N$10</f>
        <v>0.46938775510204084</v>
      </c>
      <c r="Q4" s="28">
        <f>SUMIF($B$4:$B$26,"Aerobic Running",I4:I26)</f>
        <v>1.8</v>
      </c>
      <c r="R4" s="28">
        <f>SUMIF($B$4:$B$26,"Aerobic Running",J4:J26)</f>
        <v>2.75</v>
      </c>
      <c r="S4" s="39">
        <f>Q4/$Q$10</f>
        <v>0.49315068493150688</v>
      </c>
      <c r="T4" s="39">
        <f>R4/$R$10</f>
        <v>0.40145985401459855</v>
      </c>
    </row>
    <row r="5" spans="1:20" ht="50" customHeight="1">
      <c r="A5" s="6" t="s">
        <v>19</v>
      </c>
      <c r="B5" s="6" t="str">
        <f>_xlfn.XLOOKUP(A5,TrainingTable[Training Component],TrainingTable[Category of Training Stimulus],"")</f>
        <v>Stretching and Mobility</v>
      </c>
      <c r="C5" s="6" t="s">
        <v>55</v>
      </c>
      <c r="D5" s="6" t="s">
        <v>64</v>
      </c>
      <c r="E5" s="85" t="s">
        <v>199</v>
      </c>
      <c r="F5" s="85"/>
      <c r="G5" s="23">
        <v>5</v>
      </c>
      <c r="H5" s="23">
        <v>5</v>
      </c>
      <c r="I5" s="23">
        <v>0</v>
      </c>
      <c r="J5" s="23">
        <v>0</v>
      </c>
      <c r="K5" s="2"/>
      <c r="L5" s="29" t="s">
        <v>34</v>
      </c>
      <c r="M5" s="30">
        <f>SUMIF($B$4:$B$26,"Turnover and Pace Work",G4:G26)</f>
        <v>0</v>
      </c>
      <c r="N5" s="30">
        <f>SUMIF($B$4:$B$26,"Turnover and Pace Work",H4:H26)</f>
        <v>0</v>
      </c>
      <c r="O5" s="40">
        <f t="shared" si="0"/>
        <v>0</v>
      </c>
      <c r="P5" s="40">
        <f t="shared" si="1"/>
        <v>0</v>
      </c>
      <c r="Q5" s="30">
        <f>SUMIF($B$4:$B$26,"Turnover and Pace Work",I4:I26)</f>
        <v>0</v>
      </c>
      <c r="R5" s="30">
        <f>SUMIF($B$4:$B$26,"Turnover and Pace Work",J4:J26)</f>
        <v>0</v>
      </c>
      <c r="S5" s="40">
        <f t="shared" ref="S5:S10" si="2">Q5/$Q$10</f>
        <v>0</v>
      </c>
      <c r="T5" s="40">
        <f t="shared" ref="T5:T10" si="3">R5/$R$10</f>
        <v>0</v>
      </c>
    </row>
    <row r="6" spans="1:20" ht="50" customHeight="1">
      <c r="A6" s="6" t="s">
        <v>49</v>
      </c>
      <c r="B6" s="6" t="str">
        <f>_xlfn.XLOOKUP(A6,TrainingTable[Training Component],TrainingTable[Category of Training Stimulus],"")</f>
        <v>Recovery</v>
      </c>
      <c r="C6" s="6" t="s">
        <v>57</v>
      </c>
      <c r="D6" s="6" t="s">
        <v>57</v>
      </c>
      <c r="E6" s="85" t="s">
        <v>203</v>
      </c>
      <c r="F6" s="85"/>
      <c r="G6" s="23">
        <v>5</v>
      </c>
      <c r="H6" s="23">
        <v>5</v>
      </c>
      <c r="I6" s="23">
        <v>0</v>
      </c>
      <c r="J6" s="23">
        <v>0</v>
      </c>
      <c r="K6" s="2"/>
      <c r="L6" s="31" t="s">
        <v>22</v>
      </c>
      <c r="M6" s="32">
        <f>SUMIF($B$4:$B$26,"Threshold",G4:G26)</f>
        <v>0</v>
      </c>
      <c r="N6" s="32">
        <f>SUMIF($B$4:$B$26,"Threshold",H4:H26)</f>
        <v>7</v>
      </c>
      <c r="O6" s="41">
        <f t="shared" si="0"/>
        <v>0</v>
      </c>
      <c r="P6" s="41">
        <f t="shared" si="1"/>
        <v>0.14285714285714285</v>
      </c>
      <c r="Q6" s="32">
        <f>SUMIF($B$4:$B$26,"Threshold",I4:I26)</f>
        <v>0</v>
      </c>
      <c r="R6" s="32">
        <f>SUMIF($B$4:$B$26,"Threshold",J4:J26)</f>
        <v>1</v>
      </c>
      <c r="S6" s="41">
        <f t="shared" si="2"/>
        <v>0</v>
      </c>
      <c r="T6" s="41">
        <f t="shared" si="3"/>
        <v>0.14598540145985403</v>
      </c>
    </row>
    <row r="7" spans="1:20" ht="50" customHeight="1">
      <c r="A7" s="6" t="s">
        <v>31</v>
      </c>
      <c r="B7" s="6" t="str">
        <f>_xlfn.XLOOKUP(A7,TrainingTable[Training Component],TrainingTable[Category of Training Stimulus],"")</f>
        <v>Speed Development</v>
      </c>
      <c r="C7" s="6" t="s">
        <v>56</v>
      </c>
      <c r="D7" s="6" t="s">
        <v>64</v>
      </c>
      <c r="E7" s="85" t="s">
        <v>204</v>
      </c>
      <c r="F7" s="85"/>
      <c r="G7" s="23">
        <v>1</v>
      </c>
      <c r="H7" s="23">
        <v>1</v>
      </c>
      <c r="I7" s="23">
        <v>0.1</v>
      </c>
      <c r="J7" s="23">
        <v>0.1</v>
      </c>
      <c r="K7" s="2"/>
      <c r="L7" s="35" t="s">
        <v>1</v>
      </c>
      <c r="M7" s="36">
        <f>SUMIF($B$4:$B$26,"VO2 Max",G4:G26)</f>
        <v>4</v>
      </c>
      <c r="N7" s="36">
        <f>SUMIF($B$4:$B$26,"VO2 Max",H4:H26)</f>
        <v>12</v>
      </c>
      <c r="O7" s="42">
        <f t="shared" si="0"/>
        <v>0.16666666666666666</v>
      </c>
      <c r="P7" s="42">
        <f t="shared" si="1"/>
        <v>0.24489795918367346</v>
      </c>
      <c r="Q7" s="36">
        <f>SUMIF($B$4:$B$26,"VO2 Max",I4:I26)</f>
        <v>1</v>
      </c>
      <c r="R7" s="36">
        <f>SUMIF($B$4:$B$26,"VO2 Max",J4:J26)</f>
        <v>2</v>
      </c>
      <c r="S7" s="42">
        <f t="shared" si="2"/>
        <v>0.27397260273972601</v>
      </c>
      <c r="T7" s="42">
        <f t="shared" si="3"/>
        <v>0.29197080291970806</v>
      </c>
    </row>
    <row r="8" spans="1:20" ht="50" customHeight="1">
      <c r="A8" s="6" t="s">
        <v>49</v>
      </c>
      <c r="B8" s="6" t="str">
        <f>_xlfn.XLOOKUP(A8,TrainingTable[Training Component],TrainingTable[Category of Training Stimulus],"")</f>
        <v>Recovery</v>
      </c>
      <c r="C8" s="6" t="s">
        <v>57</v>
      </c>
      <c r="D8" s="6" t="s">
        <v>57</v>
      </c>
      <c r="E8" s="85" t="s">
        <v>205</v>
      </c>
      <c r="F8" s="85"/>
      <c r="G8" s="23">
        <v>5</v>
      </c>
      <c r="H8" s="23">
        <v>5</v>
      </c>
      <c r="I8" s="23">
        <v>0</v>
      </c>
      <c r="J8" s="23">
        <v>0</v>
      </c>
      <c r="K8" s="2"/>
      <c r="L8" s="33" t="s">
        <v>2</v>
      </c>
      <c r="M8" s="34">
        <f>SUMIF($B$4:$B$26,"Lactate Tolerance",G4:G26)</f>
        <v>5</v>
      </c>
      <c r="N8" s="34">
        <f>SUMIF($B$4:$B$26,"Lactate Tolerance",H4:H26)</f>
        <v>6</v>
      </c>
      <c r="O8" s="43">
        <f t="shared" si="0"/>
        <v>0.20833333333333334</v>
      </c>
      <c r="P8" s="43">
        <f t="shared" si="1"/>
        <v>0.12244897959183673</v>
      </c>
      <c r="Q8" s="34">
        <f>SUMIF($B$4:$B$26,"Lactate Tolerance",I4:I26)</f>
        <v>0.75</v>
      </c>
      <c r="R8" s="34">
        <f>SUMIF($B$4:$B$26,"Lactate Tolerance",J4:J26)</f>
        <v>1</v>
      </c>
      <c r="S8" s="43">
        <f t="shared" si="2"/>
        <v>0.20547945205479454</v>
      </c>
      <c r="T8" s="43">
        <f t="shared" si="3"/>
        <v>0.14598540145985403</v>
      </c>
    </row>
    <row r="9" spans="1:20" ht="50" customHeight="1">
      <c r="A9" s="6" t="s">
        <v>27</v>
      </c>
      <c r="B9" s="6" t="str">
        <f>_xlfn.XLOOKUP(A9,TrainingTable[Training Component],TrainingTable[Category of Training Stimulus],"")</f>
        <v>VO2 Max</v>
      </c>
      <c r="C9" s="6" t="s">
        <v>58</v>
      </c>
      <c r="D9" s="6" t="s">
        <v>64</v>
      </c>
      <c r="E9" s="85" t="s">
        <v>207</v>
      </c>
      <c r="F9" s="85"/>
      <c r="G9" s="23">
        <v>4</v>
      </c>
      <c r="H9" s="23">
        <v>12</v>
      </c>
      <c r="I9" s="23">
        <v>1</v>
      </c>
      <c r="J9" s="23">
        <v>2</v>
      </c>
      <c r="K9" s="2"/>
      <c r="L9" s="37" t="s">
        <v>3</v>
      </c>
      <c r="M9" s="38">
        <f>SUMIF($B$4:$B$26,"Speed Development",G4:G26)</f>
        <v>1</v>
      </c>
      <c r="N9" s="38">
        <f>SUMIF($B$4:$B$26,"Speed Development",H4:H26)</f>
        <v>1</v>
      </c>
      <c r="O9" s="44">
        <f t="shared" si="0"/>
        <v>4.1666666666666664E-2</v>
      </c>
      <c r="P9" s="44">
        <f t="shared" si="1"/>
        <v>2.0408163265306121E-2</v>
      </c>
      <c r="Q9" s="38">
        <f>SUMIF($B$4:$B$26,"Speed Development",I4:I26)</f>
        <v>0.1</v>
      </c>
      <c r="R9" s="38">
        <f>SUMIF($B$4:$B$26,"Speed Development",J4:J26)</f>
        <v>0.1</v>
      </c>
      <c r="S9" s="44">
        <f t="shared" si="2"/>
        <v>2.7397260273972605E-2</v>
      </c>
      <c r="T9" s="44">
        <f t="shared" si="3"/>
        <v>1.4598540145985403E-2</v>
      </c>
    </row>
    <row r="10" spans="1:20" ht="50" customHeight="1">
      <c r="A10" s="6" t="s">
        <v>28</v>
      </c>
      <c r="B10" s="6" t="str">
        <f>_xlfn.XLOOKUP(A10,TrainingTable[Training Component],TrainingTable[Category of Training Stimulus],"")</f>
        <v>Lactate Tolerance</v>
      </c>
      <c r="C10" s="6" t="s">
        <v>58</v>
      </c>
      <c r="D10" s="6" t="s">
        <v>64</v>
      </c>
      <c r="E10" s="93" t="s">
        <v>208</v>
      </c>
      <c r="F10" s="94"/>
      <c r="G10" s="23">
        <v>5</v>
      </c>
      <c r="H10" s="23">
        <v>6</v>
      </c>
      <c r="I10" s="23">
        <v>0.75</v>
      </c>
      <c r="J10" s="23">
        <v>1</v>
      </c>
      <c r="K10" s="2"/>
      <c r="L10" s="46" t="s">
        <v>72</v>
      </c>
      <c r="M10" s="23">
        <f>SUM(M4:M9)</f>
        <v>24</v>
      </c>
      <c r="N10" s="23">
        <f>SUM(N4:N9)</f>
        <v>49</v>
      </c>
      <c r="O10" s="47">
        <f>M10/M10</f>
        <v>1</v>
      </c>
      <c r="P10" s="45">
        <f t="shared" si="1"/>
        <v>1</v>
      </c>
      <c r="Q10" s="23">
        <f>SUM(Q4:Q9)</f>
        <v>3.65</v>
      </c>
      <c r="R10" s="23">
        <f>SUM(R4:R9)</f>
        <v>6.85</v>
      </c>
      <c r="S10" s="47">
        <f t="shared" si="2"/>
        <v>1</v>
      </c>
      <c r="T10" s="47">
        <f t="shared" si="3"/>
        <v>1</v>
      </c>
    </row>
    <row r="11" spans="1:20" ht="50" customHeight="1">
      <c r="A11" s="6" t="s">
        <v>24</v>
      </c>
      <c r="B11" s="6" t="str">
        <f>_xlfn.XLOOKUP(A11,TrainingTable[Training Component],TrainingTable[Category of Training Stimulus],"")</f>
        <v>Threshold</v>
      </c>
      <c r="C11" s="6" t="s">
        <v>58</v>
      </c>
      <c r="D11" s="6" t="s">
        <v>64</v>
      </c>
      <c r="E11" s="85" t="s">
        <v>209</v>
      </c>
      <c r="F11" s="85"/>
      <c r="G11" s="23">
        <v>0</v>
      </c>
      <c r="H11" s="23">
        <v>7</v>
      </c>
      <c r="I11" s="23">
        <v>0</v>
      </c>
      <c r="J11" s="23">
        <v>1</v>
      </c>
      <c r="K11" s="2"/>
      <c r="L11" s="24"/>
      <c r="M11" s="16"/>
      <c r="N11" s="16"/>
      <c r="O11" s="16"/>
      <c r="P11" s="16"/>
      <c r="Q11" s="16"/>
      <c r="R11" s="2"/>
      <c r="S11" s="16"/>
      <c r="T11" s="16"/>
    </row>
    <row r="12" spans="1:20" ht="50" customHeight="1">
      <c r="A12" s="6" t="s">
        <v>49</v>
      </c>
      <c r="B12" s="6" t="str">
        <f>_xlfn.XLOOKUP(A12,TrainingTable[Training Component],TrainingTable[Category of Training Stimulus],"")</f>
        <v>Recovery</v>
      </c>
      <c r="C12" s="6" t="s">
        <v>57</v>
      </c>
      <c r="D12" s="6" t="s">
        <v>57</v>
      </c>
      <c r="E12" s="85" t="s">
        <v>186</v>
      </c>
      <c r="F12" s="85"/>
      <c r="G12" s="23">
        <v>5</v>
      </c>
      <c r="H12" s="23">
        <v>5</v>
      </c>
      <c r="I12" s="23">
        <v>0</v>
      </c>
      <c r="J12" s="23">
        <v>0</v>
      </c>
      <c r="K12" s="2"/>
      <c r="L12" s="24"/>
      <c r="M12" s="16"/>
      <c r="N12" s="16"/>
      <c r="O12" s="16"/>
      <c r="P12" s="16"/>
      <c r="Q12" s="16"/>
      <c r="R12" s="2"/>
      <c r="S12" s="16"/>
      <c r="T12" s="16"/>
    </row>
    <row r="13" spans="1:20" ht="50" customHeight="1">
      <c r="A13" s="6" t="s">
        <v>14</v>
      </c>
      <c r="B13" s="6" t="str">
        <f>_xlfn.XLOOKUP(A13,TrainingTable[Training Component],TrainingTable[Category of Training Stimulus],"")</f>
        <v>Aerobic Running</v>
      </c>
      <c r="C13" s="6" t="s">
        <v>55</v>
      </c>
      <c r="D13" s="6" t="s">
        <v>67</v>
      </c>
      <c r="E13" s="85" t="s">
        <v>206</v>
      </c>
      <c r="F13" s="85"/>
      <c r="G13" s="23">
        <v>10</v>
      </c>
      <c r="H13" s="23">
        <v>15</v>
      </c>
      <c r="I13" s="23">
        <v>1.3</v>
      </c>
      <c r="J13" s="23">
        <v>2</v>
      </c>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topLeftCell="C1" zoomScale="140" zoomScaleNormal="140" workbookViewId="0">
      <selection activeCell="G8" sqref="G8"/>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45723</v>
      </c>
      <c r="C1" s="20" t="s">
        <v>97</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210</v>
      </c>
      <c r="F4" s="85"/>
      <c r="G4" s="23">
        <v>30</v>
      </c>
      <c r="H4" s="23">
        <v>45</v>
      </c>
      <c r="I4" s="23">
        <v>3.5</v>
      </c>
      <c r="J4" s="23">
        <v>6</v>
      </c>
      <c r="K4" s="2"/>
      <c r="L4" s="27" t="s">
        <v>69</v>
      </c>
      <c r="M4" s="28">
        <f>SUMIF($B$4:$B$26,"Aerobic Running",G4:G26)</f>
        <v>30</v>
      </c>
      <c r="N4" s="28">
        <f>SUMIF($B$4:$B$26,"Aerobic Running",H4:H26)</f>
        <v>45</v>
      </c>
      <c r="O4" s="39">
        <f t="shared" ref="O4:O9" si="0">M4/$M$10</f>
        <v>0.9375</v>
      </c>
      <c r="P4" s="39">
        <f t="shared" ref="P4:P10" si="1">N4/$N$10</f>
        <v>0.95744680851063835</v>
      </c>
      <c r="Q4" s="28">
        <f>SUMIF($B$4:$B$26,"Aerobic Running",I4:I26)</f>
        <v>3.5</v>
      </c>
      <c r="R4" s="28">
        <f>SUMIF($B$4:$B$26,"Aerobic Running",J4:J26)</f>
        <v>6</v>
      </c>
      <c r="S4" s="39">
        <f>Q4/$Q$10</f>
        <v>0.89743589743589747</v>
      </c>
      <c r="T4" s="39">
        <f>R4/$R$10</f>
        <v>0.9375</v>
      </c>
    </row>
    <row r="5" spans="1:20" ht="50" customHeight="1">
      <c r="A5" s="6" t="s">
        <v>42</v>
      </c>
      <c r="B5" s="6" t="str">
        <f>_xlfn.XLOOKUP(A5,TrainingTable[Training Component],TrainingTable[Category of Training Stimulus],"")</f>
        <v>Turnover and Pace Work</v>
      </c>
      <c r="C5" s="6" t="s">
        <v>55</v>
      </c>
      <c r="D5" s="6" t="s">
        <v>67</v>
      </c>
      <c r="E5" s="85" t="s">
        <v>200</v>
      </c>
      <c r="F5" s="85"/>
      <c r="G5" s="23">
        <v>2</v>
      </c>
      <c r="H5" s="23">
        <v>2</v>
      </c>
      <c r="I5" s="23">
        <v>0.4</v>
      </c>
      <c r="J5" s="23">
        <v>0.4</v>
      </c>
      <c r="K5" s="2"/>
      <c r="L5" s="29" t="s">
        <v>34</v>
      </c>
      <c r="M5" s="30">
        <f>SUMIF($B$4:$B$26,"Turnover and Pace Work",G4:G26)</f>
        <v>2</v>
      </c>
      <c r="N5" s="30">
        <f>SUMIF($B$4:$B$26,"Turnover and Pace Work",H4:H26)</f>
        <v>2</v>
      </c>
      <c r="O5" s="40">
        <f t="shared" si="0"/>
        <v>6.25E-2</v>
      </c>
      <c r="P5" s="40">
        <f t="shared" si="1"/>
        <v>4.2553191489361701E-2</v>
      </c>
      <c r="Q5" s="30">
        <f>SUMIF($B$4:$B$26,"Turnover and Pace Work",I4:I26)</f>
        <v>0.4</v>
      </c>
      <c r="R5" s="30">
        <f>SUMIF($B$4:$B$26,"Turnover and Pace Work",J4:J26)</f>
        <v>0.4</v>
      </c>
      <c r="S5" s="40">
        <f t="shared" ref="S5:S10" si="2">Q5/$Q$10</f>
        <v>0.10256410256410257</v>
      </c>
      <c r="T5" s="40">
        <f t="shared" ref="T5:T10" si="3">R5/$R$10</f>
        <v>6.25E-2</v>
      </c>
    </row>
    <row r="6" spans="1:20" ht="50" customHeight="1">
      <c r="A6" s="6"/>
      <c r="B6" s="6" t="str">
        <f>_xlfn.XLOOKUP(A6,TrainingTable[Training Component],TrainingTable[Category of Training Stimulus],"")</f>
        <v/>
      </c>
      <c r="C6" s="6"/>
      <c r="D6" s="6"/>
      <c r="E6" s="85"/>
      <c r="F6" s="85"/>
      <c r="G6" s="23"/>
      <c r="H6" s="23"/>
      <c r="I6" s="23"/>
      <c r="J6" s="23"/>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32</v>
      </c>
      <c r="N10" s="23">
        <f>SUM(N4:N9)</f>
        <v>47</v>
      </c>
      <c r="O10" s="47">
        <f>M10/M10</f>
        <v>1</v>
      </c>
      <c r="P10" s="45">
        <f t="shared" si="1"/>
        <v>1</v>
      </c>
      <c r="Q10" s="23">
        <f>SUM(Q4:Q9)</f>
        <v>3.9</v>
      </c>
      <c r="R10" s="23">
        <f>SUM(R4:R9)</f>
        <v>6.4</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zoomScale="140" zoomScaleNormal="140" workbookViewId="0">
      <selection activeCell="G9" sqref="G9"/>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45717</v>
      </c>
      <c r="C1" s="20" t="s">
        <v>77</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77</v>
      </c>
      <c r="B4" s="6" t="str">
        <f>_xlfn.XLOOKUP(A4,TrainingTable[Training Component],TrainingTable[Category of Training Stimulus],"")</f>
        <v>Aerobic Running</v>
      </c>
      <c r="C4" s="6" t="s">
        <v>55</v>
      </c>
      <c r="D4" s="6" t="s">
        <v>67</v>
      </c>
      <c r="E4" s="85" t="s">
        <v>211</v>
      </c>
      <c r="F4" s="85"/>
      <c r="G4" s="23">
        <v>60</v>
      </c>
      <c r="H4" s="23">
        <v>90</v>
      </c>
      <c r="I4" s="23">
        <v>7</v>
      </c>
      <c r="J4" s="23">
        <v>12</v>
      </c>
      <c r="K4" s="2"/>
      <c r="L4" s="27" t="s">
        <v>69</v>
      </c>
      <c r="M4" s="28">
        <f>SUMIF($B$4:$B$26,"Aerobic Running",G4:G26)</f>
        <v>60</v>
      </c>
      <c r="N4" s="28">
        <f>SUMIF($B$4:$B$26,"Aerobic Running",H4:H26)</f>
        <v>90</v>
      </c>
      <c r="O4" s="39">
        <f t="shared" ref="O4:O9" si="0">M4/$M$10</f>
        <v>0.967741935483871</v>
      </c>
      <c r="P4" s="39">
        <f t="shared" ref="P4:P10" si="1">N4/$N$10</f>
        <v>0.97826086956521741</v>
      </c>
      <c r="Q4" s="28">
        <f>SUMIF($B$4:$B$26,"Aerobic Running",I4:I26)</f>
        <v>7</v>
      </c>
      <c r="R4" s="28">
        <f>SUMIF($B$4:$B$26,"Aerobic Running",J4:J26)</f>
        <v>12</v>
      </c>
      <c r="S4" s="39">
        <f>Q4/$Q$10</f>
        <v>0.94594594594594594</v>
      </c>
      <c r="T4" s="39">
        <f>R4/$R$10</f>
        <v>0.75</v>
      </c>
    </row>
    <row r="5" spans="1:20" ht="50" customHeight="1">
      <c r="A5" s="6" t="s">
        <v>42</v>
      </c>
      <c r="B5" s="6" t="str">
        <f>_xlfn.XLOOKUP(A5,TrainingTable[Training Component],TrainingTable[Category of Training Stimulus],"")</f>
        <v>Turnover and Pace Work</v>
      </c>
      <c r="C5" s="6" t="s">
        <v>55</v>
      </c>
      <c r="D5" s="6" t="s">
        <v>67</v>
      </c>
      <c r="E5" s="85" t="s">
        <v>212</v>
      </c>
      <c r="F5" s="85"/>
      <c r="G5" s="23">
        <v>2</v>
      </c>
      <c r="H5" s="23">
        <v>2</v>
      </c>
      <c r="I5" s="23">
        <v>0.4</v>
      </c>
      <c r="J5" s="23">
        <v>4</v>
      </c>
      <c r="K5" s="2"/>
      <c r="L5" s="29" t="s">
        <v>34</v>
      </c>
      <c r="M5" s="30">
        <f>SUMIF($B$4:$B$26,"Turnover and Pace Work",G4:G26)</f>
        <v>2</v>
      </c>
      <c r="N5" s="30">
        <f>SUMIF($B$4:$B$26,"Turnover and Pace Work",H4:H26)</f>
        <v>2</v>
      </c>
      <c r="O5" s="40">
        <f t="shared" si="0"/>
        <v>3.2258064516129031E-2</v>
      </c>
      <c r="P5" s="40">
        <f t="shared" si="1"/>
        <v>2.1739130434782608E-2</v>
      </c>
      <c r="Q5" s="30">
        <f>SUMIF($B$4:$B$26,"Turnover and Pace Work",I4:I26)</f>
        <v>0.4</v>
      </c>
      <c r="R5" s="30">
        <f>SUMIF($B$4:$B$26,"Turnover and Pace Work",J4:J26)</f>
        <v>4</v>
      </c>
      <c r="S5" s="40">
        <f t="shared" ref="S5:S10" si="2">Q5/$Q$10</f>
        <v>5.4054054054054057E-2</v>
      </c>
      <c r="T5" s="40">
        <f t="shared" ref="T5:T10" si="3">R5/$R$10</f>
        <v>0.25</v>
      </c>
    </row>
    <row r="6" spans="1:20" ht="50" customHeight="1">
      <c r="A6" s="6" t="s">
        <v>20</v>
      </c>
      <c r="B6" s="6" t="str">
        <f>_xlfn.XLOOKUP(A6,TrainingTable[Training Component],TrainingTable[Category of Training Stimulus],"")</f>
        <v>Stretching and Mobility</v>
      </c>
      <c r="C6" s="6" t="s">
        <v>57</v>
      </c>
      <c r="D6" s="6" t="s">
        <v>57</v>
      </c>
      <c r="E6" s="85" t="s">
        <v>201</v>
      </c>
      <c r="F6" s="85"/>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62</v>
      </c>
      <c r="N10" s="23">
        <f>SUM(N4:N9)</f>
        <v>92</v>
      </c>
      <c r="O10" s="47">
        <f>M10/M10</f>
        <v>1</v>
      </c>
      <c r="P10" s="45">
        <f t="shared" si="1"/>
        <v>1</v>
      </c>
      <c r="Q10" s="23">
        <f>SUM(Q4:Q9)</f>
        <v>7.4</v>
      </c>
      <c r="R10" s="23">
        <f>SUM(R4:R9)</f>
        <v>16</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zoomScale="140" zoomScaleNormal="140" workbookViewId="0">
      <selection activeCell="B1" sqref="B1"/>
    </sheetView>
  </sheetViews>
  <sheetFormatPr baseColWidth="10" defaultRowHeight="17"/>
  <cols>
    <col min="1" max="1" width="43.6640625" style="2" customWidth="1"/>
    <col min="2" max="2" width="17.33203125" style="2" customWidth="1"/>
    <col min="3" max="4" width="17.33203125" style="16" customWidth="1"/>
    <col min="5" max="5" width="81.33203125" style="2" customWidth="1"/>
    <col min="6" max="26" width="10.83203125" style="2"/>
  </cols>
  <sheetData>
    <row r="1" spans="1:5" ht="50" customHeight="1">
      <c r="A1" s="3" t="s">
        <v>165</v>
      </c>
      <c r="B1" s="5" t="s">
        <v>9</v>
      </c>
    </row>
    <row r="2" spans="1:5" ht="19" customHeight="1"/>
    <row r="3" spans="1:5" ht="50" customHeight="1">
      <c r="A3" s="51" t="s">
        <v>99</v>
      </c>
      <c r="B3" s="51" t="s">
        <v>100</v>
      </c>
      <c r="C3" s="53" t="s">
        <v>101</v>
      </c>
      <c r="D3" s="53" t="s">
        <v>102</v>
      </c>
      <c r="E3" s="51" t="s">
        <v>13</v>
      </c>
    </row>
    <row r="4" spans="1:5" ht="50" customHeight="1">
      <c r="A4" s="6" t="str" cm="1">
        <f t="array" ref="A4:E8">_xlfn._xlws.FILTER(Strength_Core2[],Strength_Core2[Routine]=B1)</f>
        <v>Romanian Deadlift (weighted or single leg)</v>
      </c>
      <c r="B4" s="6" t="str">
        <v>Lower Body B</v>
      </c>
      <c r="C4" s="23">
        <v>3</v>
      </c>
      <c r="D4" s="23" t="str">
        <v>5-10</v>
      </c>
      <c r="E4" s="6" t="str">
        <v>https://www.youtube.com/watch?v=cWoPMoxYHz0</v>
      </c>
    </row>
    <row r="5" spans="1:5" ht="50" customHeight="1">
      <c r="A5" s="6" t="str">
        <v>Goblet Squat</v>
      </c>
      <c r="B5" s="6" t="str">
        <v>Lower Body B</v>
      </c>
      <c r="C5" s="23">
        <v>3</v>
      </c>
      <c r="D5" s="23" t="str">
        <v>8-12</v>
      </c>
      <c r="E5" s="6" t="str">
        <v>https://www.youtube.com/watch?v=yGswPtbSlro</v>
      </c>
    </row>
    <row r="6" spans="1:5" ht="50" customHeight="1">
      <c r="A6" s="6" t="str">
        <v>Reverse Lunge</v>
      </c>
      <c r="B6" s="6" t="str">
        <v>Lower Body B</v>
      </c>
      <c r="C6" s="23">
        <v>2</v>
      </c>
      <c r="D6" s="23" t="str">
        <v>15 each leg</v>
      </c>
      <c r="E6" s="6" t="str">
        <v>https://www.youtube.com/watch?v=5frs7_F2SrU&amp;pp=ygUNcmV2ZXJzZSBsdW5nZQ%3D%3D</v>
      </c>
    </row>
    <row r="7" spans="1:5" ht="50" customHeight="1">
      <c r="A7" s="6" t="str">
        <v>Step-Ups</v>
      </c>
      <c r="B7" s="6" t="str">
        <v>Lower Body B</v>
      </c>
      <c r="C7" s="23">
        <v>3</v>
      </c>
      <c r="D7" s="23" t="str">
        <v>10-15 each leg</v>
      </c>
      <c r="E7" s="6" t="str">
        <v>https://www.youtube.com/watch?v=elhu-WC1qk4&amp;pp=ygUIc3RlcCB1cHM%3D</v>
      </c>
    </row>
    <row r="8" spans="1:5" ht="50" customHeight="1">
      <c r="A8" s="6" t="str">
        <v>Single Leg Glute Bridge</v>
      </c>
      <c r="B8" s="6" t="str">
        <v>Lower Body B</v>
      </c>
      <c r="C8" s="23">
        <v>3</v>
      </c>
      <c r="D8" s="23" t="str">
        <v>10-15 each leg</v>
      </c>
      <c r="E8" s="6" t="str">
        <v>https://www.youtube.com/watch?v=egs6m4J8u8c</v>
      </c>
    </row>
    <row r="9" spans="1:5" ht="50" customHeight="1"/>
    <row r="10" spans="1:5" ht="50" customHeight="1"/>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9">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D</v>
      </c>
      <c r="F5" s="2" t="s">
        <v>96</v>
      </c>
    </row>
    <row r="6" spans="1:6">
      <c r="A6" s="2" t="str">
        <v>Stretching and Mobility</v>
      </c>
      <c r="B6" s="2" t="str">
        <v>400M Pace Running</v>
      </c>
      <c r="D6" s="2" t="s">
        <v>63</v>
      </c>
      <c r="E6" s="2" t="str">
        <v>Core A</v>
      </c>
      <c r="F6" s="2" t="s">
        <v>78</v>
      </c>
    </row>
    <row r="7" spans="1:6">
      <c r="A7" s="2" t="str">
        <v>Threshold</v>
      </c>
      <c r="B7" s="2" t="str">
        <v>50M Flys</v>
      </c>
      <c r="D7" s="2" t="s">
        <v>64</v>
      </c>
      <c r="E7" s="2" t="str">
        <v>Core B</v>
      </c>
      <c r="F7" s="2" t="s">
        <v>97</v>
      </c>
    </row>
    <row r="8" spans="1:6">
      <c r="A8" s="2" t="str">
        <v>Turnover and Pace Work</v>
      </c>
      <c r="B8" s="2" t="str">
        <v>5K Pace Running</v>
      </c>
      <c r="D8" s="2" t="s">
        <v>68</v>
      </c>
      <c r="E8" s="2" t="str">
        <v>Core C</v>
      </c>
      <c r="F8" s="2" t="s">
        <v>77</v>
      </c>
    </row>
    <row r="9" spans="1:6">
      <c r="A9" s="2" t="str">
        <v>VO2 Max</v>
      </c>
      <c r="B9" s="2" t="str">
        <v>800M Pace Running</v>
      </c>
      <c r="E9" s="2" t="str">
        <v>Upper Body A</v>
      </c>
    </row>
    <row r="10" spans="1:6">
      <c r="B10" s="2" t="str">
        <v>80M Flys</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190</v>
      </c>
      <c r="C31" s="14"/>
    </row>
    <row r="32" spans="1:3" ht="25" customHeight="1">
      <c r="A32" s="12" t="s">
        <v>34</v>
      </c>
      <c r="B32" s="13" t="s">
        <v>197</v>
      </c>
      <c r="C32" s="14"/>
    </row>
    <row r="33" spans="1:3" ht="25" customHeight="1">
      <c r="A33" s="12" t="s">
        <v>34</v>
      </c>
      <c r="B33" s="13" t="s">
        <v>198</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3" sqref="E43"/>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120</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192</v>
      </c>
      <c r="B41" s="2" t="s">
        <v>8</v>
      </c>
      <c r="C41" s="16">
        <v>2</v>
      </c>
      <c r="D41" s="73" t="s">
        <v>193</v>
      </c>
      <c r="E41" s="2" t="s">
        <v>194</v>
      </c>
      <c r="F41" s="2"/>
      <c r="G41" s="2"/>
      <c r="H41" s="2"/>
      <c r="I41" s="2"/>
      <c r="J41" s="2"/>
      <c r="K41" s="2"/>
      <c r="L41" s="2"/>
      <c r="M41" s="2"/>
    </row>
    <row r="42" spans="1:13" s="4" customFormat="1" ht="30" customHeight="1">
      <c r="A42" s="2" t="s">
        <v>192</v>
      </c>
      <c r="B42" s="2" t="s">
        <v>120</v>
      </c>
      <c r="C42" s="16">
        <v>2</v>
      </c>
      <c r="D42" s="73" t="s">
        <v>193</v>
      </c>
      <c r="E42" s="2" t="s">
        <v>194</v>
      </c>
      <c r="F42" s="2"/>
      <c r="G42" s="2"/>
      <c r="H42" s="2"/>
      <c r="I42" s="2"/>
      <c r="J42" s="2"/>
      <c r="K42" s="2"/>
      <c r="L42" s="2"/>
      <c r="M42" s="2"/>
    </row>
    <row r="43" spans="1:13" s="4" customFormat="1" ht="30" customHeight="1">
      <c r="A43" s="2"/>
      <c r="B43" s="2"/>
      <c r="C43" s="16"/>
      <c r="D43" s="73"/>
      <c r="E43" s="2"/>
      <c r="F43" s="2"/>
      <c r="G43" s="2"/>
      <c r="H43" s="2"/>
      <c r="I43" s="2"/>
      <c r="J43" s="2"/>
      <c r="K43" s="2"/>
      <c r="L43" s="2"/>
      <c r="M43" s="2"/>
    </row>
    <row r="44" spans="1:13" s="4" customFormat="1" ht="30" customHeight="1">
      <c r="A44" s="2"/>
      <c r="B44" s="2"/>
      <c r="C44" s="16"/>
      <c r="D44" s="73"/>
      <c r="E44" s="2"/>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2025-03-03T04:37:17Z</dcterms:modified>
</cp:coreProperties>
</file>