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CABEA7FA-A8CE-3944-AB25-A52C77DF8735}" xr6:coauthVersionLast="47" xr6:coauthVersionMax="47" xr10:uidLastSave="{00000000-0000-0000-0000-000000000000}"/>
  <bookViews>
    <workbookView xWindow="0" yWindow="760" windowWidth="30240" windowHeight="17380"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Table'!$A$1:$E$42</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a="1"/>
  <c r="A4" i="11" s="1"/>
  <c r="E2" i="9" a="1"/>
  <c r="E2" i="9" s="1"/>
  <c r="I8" i="1"/>
  <c r="B26" i="7"/>
  <c r="B25" i="7"/>
  <c r="B24" i="7"/>
  <c r="B23" i="7"/>
  <c r="B22" i="7"/>
  <c r="B21" i="7"/>
  <c r="B20" i="7"/>
  <c r="B19" i="7"/>
  <c r="B18" i="7"/>
  <c r="B17" i="7"/>
  <c r="B16" i="7"/>
  <c r="B15" i="7"/>
  <c r="B14" i="7"/>
  <c r="B13" i="7"/>
  <c r="B12" i="7"/>
  <c r="B11" i="7"/>
  <c r="B10" i="7"/>
  <c r="B9" i="7"/>
  <c r="B8" i="7"/>
  <c r="B7"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<sst xmlns="http://schemas.openxmlformats.org/spreadsheetml/2006/main" count="698" uniqueCount="218">
  <si>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</si>
  <si>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</si>
  <si>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</si>
  <si>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</si>
  <si>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</si>
  <si>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</si>
  <si>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</si>
  <si>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</si>
  <si>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</si>
  <si>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</si>
  <si>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</si>
  <si>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</si>
  <si>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</si>
  <si>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</si>
  <si>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</si>
  <si>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</si>
  <si>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</si>
  <si>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</si>
  <si>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</si>
  <si>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</si>
  <si>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</si>
  <si>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</si>
  <si>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</si>
  <si>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</si>
  <si>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</si>
  <si>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</si>
  <si>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</si>
  <si>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</si>
  <si>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</si>
  <si>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</si>
  <si>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</si>
  <si>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</si>
  <si>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</si>
  <si>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</si>
  <si>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</si>
  <si>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</si>
  <si>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</si>
  <si>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</si>
  <si>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</si>
  <si>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</si>
  <si>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</si>
  <si>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</si>
  <si>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</si>
  <si>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</si>
  <si>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</si>
  <si>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</si>
  <si>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</si>
  <si>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</si>
  <si>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</si>
  <si>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</si>
  <si>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</si>
  <si>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</si>
  <si>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</si>
  <si>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</si>
  <si>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</si>
  <si>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</si>
  <si>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</si>
  <si>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</si>
  <si>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</si>
  <si>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</si>
  <si>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</si>
  <si>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</si>
  <si>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</si>
  <si>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</si>
  <si>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</si>
  <si>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</si>
  <si>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</si>
  <si>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</si>
  <si>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</si>
  <si>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Areobic Running</t>
  </si>
  <si>
    <t>(in minutes)</t>
  </si>
  <si>
    <t>(in miles)</t>
  </si>
  <si>
    <t>Totals:</t>
  </si>
  <si>
    <t>Tuesday</t>
  </si>
  <si>
    <t>Wednesday</t>
  </si>
  <si>
    <t>Thursday</t>
  </si>
  <si>
    <t>Friday</t>
  </si>
  <si>
    <t>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</si>
  <si>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</si>
  <si>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</si>
  <si>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</si>
  <si>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</si>
  <si>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</si>
  <si>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</si>
  <si>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</si>
  <si>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</si>
  <si>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</si>
  <si>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</si>
  <si>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</si>
  <si>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</si>
  <si>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</si>
  <si>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</si>
  <si>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</si>
  <si>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</si>
  <si>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</si>
  <si>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</si>
  <si>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</si>
  <si>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</si>
  <si>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</si>
  <si>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</si>
  <si>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</si>
  <si>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</si>
  <si>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</si>
  <si>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</si>
  <si>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</si>
  <si>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</si>
  <si>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</si>
  <si>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</si>
  <si>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</si>
  <si>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</si>
  <si>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</si>
  <si>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</si>
  <si>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</si>
  <si>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</si>
  <si>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</si>
  <si>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</si>
  <si>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</si>
  <si>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</si>
  <si>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</si>
  <si>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</si>
  <si>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</si>
  <si>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</si>
  <si>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</si>
  <si>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</si>
  <si>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</si>
  <si>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</si>
  <si>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</si>
  <si>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</si>
  <si>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</si>
  <si>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</si>
  <si>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</si>
  <si>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</si>
  <si>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</si>
  <si>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</si>
  <si>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</si>
  <si>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</si>
  <si>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</si>
  <si>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</si>
  <si>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</si>
  <si>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</si>
  <si>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</si>
  <si>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</si>
  <si>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</si>
  <si>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</si>
  <si>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</si>
  <si>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</si>
  <si>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</si>
  <si>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</si>
  <si>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</si>
  <si>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</si>
  <si>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</si>
  <si>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</si>
  <si>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</si>
  <si>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</si>
  <si>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</si>
  <si>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</si>
  <si>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</si>
  <si>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</si>
  <si>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</si>
  <si>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</si>
  <si>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</si>
  <si>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</si>
  <si>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</si>
  <si>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</si>
  <si>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</si>
  <si>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</si>
  <si>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</si>
  <si>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</si>
  <si>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</si>
  <si>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</si>
  <si>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</si>
  <si>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Location</t>
  </si>
  <si>
    <t>Push-Ups</t>
  </si>
  <si>
    <t>Pull-Ups</t>
  </si>
  <si>
    <t>Until failure</t>
  </si>
  <si>
    <t>Dips</t>
  </si>
  <si>
    <t>Pike Push-Ups</t>
  </si>
  <si>
    <t>5-15 minute easy cool down.</t>
  </si>
  <si>
    <t>Short warmup (800-1200M)</t>
  </si>
  <si>
    <t>Choose ~5 dynamic drills and complete with good form and intention. Finish with leg swings.</t>
  </si>
  <si>
    <t>2x 100M strides, in preparation for the flying 30s.</t>
  </si>
  <si>
    <t>Change into spikes in preparation for the flying 30s.</t>
  </si>
  <si>
    <t>4x 30M flys, run at 100% relaxed effort. Focus on sprint form, building maximum speed. Full recovery between each rep.</t>
  </si>
  <si>
    <t>Change into workout shoes for threshold reps.</t>
  </si>
  <si>
    <t>Change into spikes in preparation for 150s.</t>
  </si>
  <si>
    <t>4-6 150M @ goal 1600M pace. Walk/jog 250M recovery then wait until breathing has normalized before starting next rep.</t>
  </si>
  <si>
    <t>Change into trainers for cool down.</t>
  </si>
  <si>
    <t>Standard hurdle mobility work.</t>
  </si>
  <si>
    <t>30-60 minute easy run.</t>
  </si>
  <si>
    <t>Standard hudle mobility drills.</t>
  </si>
  <si>
    <t>Hill Sprints</t>
  </si>
  <si>
    <t>6x 10-15 second hill sprints. Full recovery. Hill should be a little steeper. No longer than 15 seconds. You should just be starting to feel tired when you stop. You want full engagement of your muscles. It's important that we get these in. These are the hill work we do now.</t>
  </si>
  <si>
    <t>Hip Flexor Band Work</t>
  </si>
  <si>
    <t>10-20 reps each side</t>
  </si>
  <si>
    <t>https://www.youtube.com/watch?v=LeBOkz-3vtQ</t>
  </si>
  <si>
    <t>3-6x 5' @ Threshold, 90 second standing recovery in between reps.</t>
  </si>
  <si>
    <t>4-6x 100M…these are like Tueller's 4x100s…take them nice and easy.</t>
  </si>
  <si>
    <t>Pre-Race 200M Gear Changes</t>
  </si>
  <si>
    <t>Pre-Race 100M Step Downs</t>
  </si>
  <si>
    <t>30-45 minute easy run</t>
  </si>
  <si>
    <t>Change into spikes for turnover and pace work</t>
  </si>
  <si>
    <t>Changing pace every 50M, 3200M effort down to ~800M effort. Full recovery in between</t>
  </si>
  <si>
    <t>Full recovery from gear changes</t>
  </si>
  <si>
    <t>4x100M, stepping down from 3200M pace to 800M pace</t>
  </si>
  <si>
    <t>5 minutes easy cool down</t>
  </si>
  <si>
    <t>Change into trainers</t>
  </si>
  <si>
    <t>10-15 minute easy jog warm-up</t>
  </si>
  <si>
    <t>Choose 5 dynamic drills and complete. Finish with leg swings</t>
  </si>
  <si>
    <t>2-4x 100M strides</t>
  </si>
  <si>
    <t>1600M race</t>
  </si>
  <si>
    <t>10-15 minute easy cool down</t>
  </si>
  <si>
    <t>Gentle 4x100Ms to flush out the legs.</t>
  </si>
  <si>
    <t>10-15 minute easy warm up</t>
  </si>
  <si>
    <t>3200M race</t>
  </si>
  <si>
    <t>15-30 minute cool down</t>
  </si>
  <si>
    <t>Gentle 4x100M strides to flush the legs</t>
  </si>
  <si>
    <t>Gentle static stretching</t>
  </si>
  <si>
    <t>You have two races this week.  Mileage is going to drop a little. Don't worry about it, let's focus on running quality races. Be very intentional about your effort this week, especially on the easy days and when we run threshold on Monday. Also, only a single lower body strength workout this week.  We'll pick back up next week with the normal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</si>
</sst>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cellXfs>
  <cellStyles count="3">
    <cellStyle name="Hyperlink" xfId="2" builtinId="8"/>
    <cellStyle name="Normal" xfId="0" builtinId="0"/>
    <cellStyle name="Percent" xfId="1" builtinId="5"/>
  </cellStyles>
  <dxfs count="1118">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3" totalsRowShown="0" headerRowDxfId="1117" headerRowBorderDxfId="1116" tableBorderDxfId="1115" totalsRowBorderDxfId="1114">
  <autoFilter ref="A1:C33" xr:uid="{FF795C1F-72BF-8048-AF19-4BC109754AA4}"/>
  <tableColumns count="3">
    <tableColumn id="1" xr3:uid="{797539E5-C30E-C347-9E62-77070737E32D}" name="Category of Training Stimulus" dataDxfId="1113"/>
    <tableColumn id="2" xr3:uid="{CF079A49-3B75-8945-8D85-33DE537F2E7B}" name="Training Component" dataDxfId="1112"/>
    <tableColumn id="3" xr3:uid="{14E078D6-C756-AB4E-A5B8-549BDA9140C1}" name="Description" dataDxfId="1111"/>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2" totalsRowShown="0" headerRowDxfId="1110" dataDxfId="1109">
  <autoFilter ref="A1:E42" xr:uid="{A95B5FF0-C24C-AB40-8E37-E36D1F969343}"/>
  <tableColumns count="5">
    <tableColumn id="1" xr3:uid="{E9AB92C4-8B67-3D4B-A8C6-B78C1D4BEEE7}" name="Exercise" dataDxfId="1108"/>
    <tableColumn id="2" xr3:uid="{1A4AEDDF-E23C-3946-AE38-5C5CF7F9C0CE}" name="Routine" dataDxfId="1107"/>
    <tableColumn id="3" xr3:uid="{DF3B3656-9776-1E47-9C7A-2D19CBE10A25}" name="Sets" dataDxfId="1106"/>
    <tableColumn id="4" xr3:uid="{215C473A-1C36-7140-8726-D4CA58A8BDDE}" name="Reps" dataDxfId="1105"/>
    <tableColumn id="5" xr3:uid="{CE501D42-6216-6142-8A4D-7407FA435D0A}" name="Description" dataDxfId="110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tabSelected="1" zoomScale="140" zoomScaleNormal="140" workbookViewId="0">
      <selection activeCell="J6" sqref="J6"/>
    </sheetView>
  </sheetViews>
  <sheetFormatPr baseColWidth="10" defaultRowHeight="17"/>
  <cols>
    <col min="1" max="1" width="25.1640625" style="2" customWidth="1"/>
    <col min="2" max="3" width="19.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82</v>
      </c>
      <c r="B1" s="52" t="s">
        <v>155</v>
      </c>
      <c r="C1" s="52" t="s">
        <v>84</v>
      </c>
      <c r="D1" s="15"/>
      <c r="E1" s="76"/>
      <c r="H1" s="79" t="s">
        <v>89</v>
      </c>
      <c r="I1" s="79"/>
      <c r="J1" s="79"/>
      <c r="K1" s="79"/>
    </row>
    <row r="2" spans="1:16" ht="22" customHeight="1">
      <c r="A2" s="6" t="s">
        <v>80</v>
      </c>
      <c r="B2" s="49" t="str">
        <f>O2&amp;" hours "&amp;(O3-O2)*(60)&amp; " minutes"</f>
        <v>3 hours 19.5 minutes</v>
      </c>
      <c r="C2" s="49" t="str">
        <f>P2&amp;" hours "&amp;ROUND((P3-P2)*(60),2)&amp; " minutes"</f>
        <v>5 hours 34.5 minutes</v>
      </c>
      <c r="H2" s="51" t="s">
        <v>90</v>
      </c>
      <c r="I2" s="51" t="s">
        <v>91</v>
      </c>
      <c r="J2" s="51" t="s">
        <v>86</v>
      </c>
      <c r="K2" s="51" t="s">
        <v>85</v>
      </c>
      <c r="O2" s="50">
        <f>INT((Monday!$M$10+Tuesday!$M$10+Wednesday!$M$10+Thursday!$M$10+Friday!$M$10+Saturday!$M$10)/(60))</f>
        <v>3</v>
      </c>
      <c r="P2" s="50">
        <f>INT((Monday!$N$10+Tuesday!$N$10+Wednesday!$N$10+Thursday!$N$10+Friday!$N$10+Saturday!$N$10)/(60))</f>
        <v>5</v>
      </c>
    </row>
    <row r="3" spans="1:16" ht="22" customHeight="1">
      <c r="A3" s="6" t="s">
        <v>81</v>
      </c>
      <c r="B3" s="23" t="str">
        <f>(Monday!Q10+Tuesday!Q10+Wednesday!Q10+Thursday!Q10+Friday!Q10+Saturday!Q10)&amp;" miles"</f>
        <v>26 miles</v>
      </c>
      <c r="C3" s="23" t="str">
        <f>(Monday!$R$10+Tuesday!$R$10+Wednesday!$R$10+Thursday!$R$10+Friday!$R$10+Saturday!$R$10)&amp;" miles"</f>
        <v>47.9 miles</v>
      </c>
      <c r="H3" s="6" t="s">
        <v>59</v>
      </c>
      <c r="I3" s="6" t="s">
        <v>95</v>
      </c>
      <c r="J3" s="6" t="s">
        <v>9</v>
      </c>
      <c r="K3" s="6"/>
      <c r="O3" s="2">
        <f>(Monday!$M$10+Tuesday!$M$10+Wednesday!$M$10+Thursday!$M$10+Friday!$M$10+Saturday!$M$10)/(60)</f>
        <v>3.3250000000000002</v>
      </c>
      <c r="P3" s="2">
        <f>(Monday!$N$10+Tuesday!$N$10+Wednesday!$N$10+Thursday!$N$10+Friday!$N$10+Saturday!$N$10)/(60)</f>
        <v>5.5750000000000002</v>
      </c>
    </row>
    <row r="4" spans="1:16" ht="22" customHeight="1">
      <c r="H4" s="6" t="s">
        <v>73</v>
      </c>
      <c r="I4" s="6" t="s">
        <v>97</v>
      </c>
      <c r="J4" s="6"/>
      <c r="K4" s="6" t="s">
        <v>4</v>
      </c>
    </row>
    <row r="5" spans="1:16" ht="22" customHeight="1">
      <c r="A5" s="51" t="s">
        <v>87</v>
      </c>
      <c r="B5" s="52" t="s">
        <v>83</v>
      </c>
      <c r="C5" s="52" t="s">
        <v>84</v>
      </c>
      <c r="D5" s="53" t="s">
        <v>152</v>
      </c>
      <c r="E5" s="52" t="s">
        <v>153</v>
      </c>
      <c r="F5" s="53" t="s">
        <v>154</v>
      </c>
      <c r="H5" s="6" t="s">
        <v>74</v>
      </c>
      <c r="I5" s="6" t="s">
        <v>93</v>
      </c>
      <c r="J5" s="6"/>
      <c r="K5" s="6" t="s">
        <v>5</v>
      </c>
    </row>
    <row r="6" spans="1:16" ht="22" customHeight="1">
      <c r="A6" s="54" t="s">
        <v>17</v>
      </c>
      <c r="B6" s="55">
        <f>TIME(,(Monday!M4+Tuesday!M4+Wednesday!M4+Thursday!M4+Friday!M4+Saturday!M4),)</f>
        <v>0.10416666666666667</v>
      </c>
      <c r="C6" s="55">
        <f>TIME(,(Monday!N4+Tuesday!N4+Wednesday!N4+Thursday!N4+Friday!N4+Saturday!N4),)</f>
        <v>0.18611111111111112</v>
      </c>
      <c r="D6" s="56">
        <f t="shared" ref="D6:D11" si="0">(B6/SUM($B$6:$B$11))</f>
        <v>0.75376884422110546</v>
      </c>
      <c r="E6" s="56">
        <f>(C6/SUM($C$6:$C$11))</f>
        <v>0.80239520958083832</v>
      </c>
      <c r="F6" s="56">
        <f>(D6+E6)/2</f>
        <v>0.77808202690097183</v>
      </c>
      <c r="H6" s="6" t="s">
        <v>75</v>
      </c>
      <c r="I6" s="6" t="s">
        <v>95</v>
      </c>
      <c r="J6" s="6" t="s">
        <v>7</v>
      </c>
      <c r="K6" s="6"/>
    </row>
    <row r="7" spans="1:16" ht="22" customHeight="1">
      <c r="A7" s="29" t="s">
        <v>34</v>
      </c>
      <c r="B7" s="57">
        <f>TIME(,(Monday!M5+Tuesday!M5+Wednesday!M5+Thursday!M5+Friday!M5+Saturday!M5),)</f>
        <v>1.0416666666666666E-2</v>
      </c>
      <c r="C7" s="57">
        <f>TIME(,(Monday!N5+Tuesday!N5+Wednesday!N5+Thursday!N5+Friday!N5+Saturday!N5),)</f>
        <v>1.1805555555555555E-2</v>
      </c>
      <c r="D7" s="58">
        <f t="shared" si="0"/>
        <v>7.5376884422110546E-2</v>
      </c>
      <c r="E7" s="58">
        <f t="shared" ref="E7:E11" si="1">(C7/SUM($C$6:$C$11))</f>
        <v>5.089820359281437E-2</v>
      </c>
      <c r="F7" s="58">
        <f t="shared" ref="F7:F11" si="2">(D7+E7)/2</f>
        <v>6.3137544007462465E-2</v>
      </c>
      <c r="H7" s="6" t="s">
        <v>76</v>
      </c>
      <c r="I7" s="6" t="s">
        <v>93</v>
      </c>
      <c r="J7" s="6"/>
      <c r="K7" s="6" t="s">
        <v>6</v>
      </c>
    </row>
    <row r="8" spans="1:16" ht="22" customHeight="1">
      <c r="A8" s="59" t="s">
        <v>22</v>
      </c>
      <c r="B8" s="60">
        <f>TIME(,(Monday!M6+Tuesday!M6+Wednesday!M6+Thursday!M6+Friday!M6+Saturday!M6),)</f>
        <v>1.0416666666666666E-2</v>
      </c>
      <c r="C8" s="60">
        <f>TIME(,(Monday!N6+Tuesday!N6+Wednesday!N6+Thursday!N6+Friday!N6+Saturday!N6),)</f>
        <v>2.0833333333333332E-2</v>
      </c>
      <c r="D8" s="61">
        <f t="shared" si="0"/>
        <v>7.5376884422110546E-2</v>
      </c>
      <c r="E8" s="61">
        <f t="shared" si="1"/>
        <v>8.9820359281437112E-2</v>
      </c>
      <c r="F8" s="61">
        <f t="shared" si="2"/>
        <v>8.2598621851773829E-2</v>
      </c>
      <c r="H8" s="6" t="s">
        <v>79</v>
      </c>
      <c r="I8" s="6" t="str">
        <f>Saturday!C1</f>
        <v>Long Run</v>
      </c>
      <c r="J8" s="6"/>
      <c r="K8" s="6"/>
    </row>
    <row r="9" spans="1:16" ht="22" customHeight="1">
      <c r="A9" s="62" t="s">
        <v>1</v>
      </c>
      <c r="B9" s="63">
        <f>TIME(,(Monday!M7+Tuesday!M7+Wednesday!M7+Thursday!M7+Friday!M7+Saturday!M7),)</f>
        <v>0</v>
      </c>
      <c r="C9" s="63">
        <f>TIME(,(Monday!N7+Tuesday!N7+Wednesday!N7+Thursday!N7+Friday!N7+Saturday!N7),)</f>
        <v>0</v>
      </c>
      <c r="D9" s="64">
        <f t="shared" si="0"/>
        <v>0</v>
      </c>
      <c r="E9" s="64">
        <f t="shared" si="1"/>
        <v>0</v>
      </c>
      <c r="F9" s="64">
        <f t="shared" si="2"/>
        <v>0</v>
      </c>
      <c r="H9" s="6" t="s">
        <v>92</v>
      </c>
      <c r="I9" s="6" t="s">
        <v>98</v>
      </c>
      <c r="J9" s="6"/>
      <c r="K9" s="6"/>
    </row>
    <row r="10" spans="1:16" ht="22" customHeight="1">
      <c r="A10" s="66" t="s">
        <v>2</v>
      </c>
      <c r="B10" s="67">
        <f>TIME(,(Monday!M8+Tuesday!M8+Wednesday!M8+Thursday!M8+Friday!M8+Saturday!M8),)</f>
        <v>1.1805555555555555E-2</v>
      </c>
      <c r="C10" s="67">
        <f>TIME(,(Monday!N8+Tuesday!N8+Wednesday!N8+Thursday!N8+Friday!N8+Saturday!N8),)</f>
        <v>1.1805555555555555E-2</v>
      </c>
      <c r="D10" s="68">
        <f t="shared" si="0"/>
        <v>8.5427135678391955E-2</v>
      </c>
      <c r="E10" s="68">
        <f t="shared" si="1"/>
        <v>5.089820359281437E-2</v>
      </c>
      <c r="F10" s="68">
        <f t="shared" si="2"/>
        <v>6.8162669635603162E-2</v>
      </c>
    </row>
    <row r="11" spans="1:16" ht="22" customHeight="1">
      <c r="A11" s="69" t="s">
        <v>3</v>
      </c>
      <c r="B11" s="71">
        <f>TIME(,(Monday!M9+Tuesday!M9+Wednesday!M9+Thursday!M9+Friday!M9+Saturday!M9),)</f>
        <v>1.3888888888888889E-3</v>
      </c>
      <c r="C11" s="71">
        <f>TIME(,(Monday!N9+Tuesday!N9+Wednesday!N9+Thursday!N9+Friday!N9+Saturday!N9),)</f>
        <v>1.3888888888888889E-3</v>
      </c>
      <c r="D11" s="70">
        <f t="shared" si="0"/>
        <v>1.0050251256281407E-2</v>
      </c>
      <c r="E11" s="70">
        <f t="shared" si="1"/>
        <v>5.9880239520958087E-3</v>
      </c>
      <c r="F11" s="70">
        <f t="shared" si="2"/>
        <v>8.019137604188608E-3</v>
      </c>
      <c r="H11" s="81" t="s">
        <v>156</v>
      </c>
      <c r="I11" s="81"/>
      <c r="J11" s="81"/>
      <c r="K11" s="81"/>
    </row>
    <row r="12" spans="1:16" ht="22" customHeight="1">
      <c r="H12" s="80" t="s">
        <v>217</v>
      </c>
      <c r="I12" s="80"/>
      <c r="J12" s="80"/>
      <c r="K12" s="80"/>
    </row>
    <row r="13" spans="1:16" ht="22" customHeight="1">
      <c r="A13" s="51" t="s">
        <v>88</v>
      </c>
      <c r="B13" s="52" t="s">
        <v>83</v>
      </c>
      <c r="C13" s="52" t="s">
        <v>84</v>
      </c>
      <c r="D13" s="53" t="s">
        <v>152</v>
      </c>
      <c r="E13" s="52" t="s">
        <v>153</v>
      </c>
      <c r="F13" s="53" t="s">
        <v>154</v>
      </c>
      <c r="H13" s="80"/>
      <c r="I13" s="80"/>
      <c r="J13" s="80"/>
      <c r="K13" s="80"/>
    </row>
    <row r="14" spans="1:16" ht="22" customHeight="1">
      <c r="A14" s="54" t="s">
        <v>17</v>
      </c>
      <c r="B14" s="28">
        <f>Monday!Q4+Tuesday!Q4+Wednesday!Q4+Thursday!Q4+Friday!Q4+Saturday!Q4</f>
        <v>17.399999999999999</v>
      </c>
      <c r="C14" s="28">
        <f>Monday!R4+Tuesday!R4+Wednesday!R4+Thursday!R4+Friday!R4+Saturday!R4</f>
        <v>35.5</v>
      </c>
      <c r="D14" s="56">
        <f>B14/(SUM($B$14:$B$19))</f>
        <v>0.6692307692307693</v>
      </c>
      <c r="E14" s="56">
        <f>C14/(SUM($C$14:$C$19))</f>
        <v>0.74112734864300633</v>
      </c>
      <c r="F14" s="56">
        <f t="shared" ref="F14:F19" si="3">(D14+E14)/2</f>
        <v>0.70517905893688781</v>
      </c>
      <c r="H14" s="80"/>
      <c r="I14" s="80"/>
      <c r="J14" s="80"/>
      <c r="K14" s="80"/>
    </row>
    <row r="15" spans="1:16" ht="22" customHeight="1">
      <c r="A15" s="29" t="s">
        <v>34</v>
      </c>
      <c r="B15" s="30">
        <f>Monday!Q5+Tuesday!Q5+Wednesday!Q5+Thursday!Q5+Friday!Q5+Saturday!Q5</f>
        <v>2.7</v>
      </c>
      <c r="C15" s="30">
        <f>Monday!R5+Tuesday!R5+Wednesday!R5+Thursday!R5+Friday!R5+Saturday!R5</f>
        <v>3.3</v>
      </c>
      <c r="D15" s="58">
        <f t="shared" ref="D15:D19" si="4">B15/(SUM($B$14:$B$19))</f>
        <v>0.10384615384615387</v>
      </c>
      <c r="E15" s="58">
        <f t="shared" ref="E15:E19" si="5">C15/(SUM($C$14:$C$19))</f>
        <v>6.889352818371608E-2</v>
      </c>
      <c r="F15" s="58">
        <f t="shared" si="3"/>
        <v>8.6369841014934973E-2</v>
      </c>
      <c r="H15" s="80"/>
      <c r="I15" s="80"/>
      <c r="J15" s="80"/>
      <c r="K15" s="80"/>
    </row>
    <row r="16" spans="1:16" ht="22" customHeight="1">
      <c r="A16" s="59" t="s">
        <v>22</v>
      </c>
      <c r="B16" s="32">
        <f>Monday!Q6+Tuesday!Q6+Wednesday!Q6+Thursday!Q6+Friday!Q6+Saturday!Q6</f>
        <v>2.4</v>
      </c>
      <c r="C16" s="32">
        <f>Monday!R6+Tuesday!R6+Wednesday!R6+Thursday!R6+Friday!R6+Saturday!R6</f>
        <v>5.5</v>
      </c>
      <c r="D16" s="61">
        <f t="shared" si="4"/>
        <v>9.2307692307692313E-2</v>
      </c>
      <c r="E16" s="61">
        <f t="shared" si="5"/>
        <v>0.11482254697286012</v>
      </c>
      <c r="F16" s="61">
        <f t="shared" si="3"/>
        <v>0.10356511964027622</v>
      </c>
      <c r="H16" s="80"/>
      <c r="I16" s="80"/>
      <c r="J16" s="80"/>
      <c r="K16" s="80"/>
    </row>
    <row r="17" spans="1:11" ht="22" customHeight="1">
      <c r="A17" s="62" t="s">
        <v>1</v>
      </c>
      <c r="B17" s="65">
        <f>Monday!Q7+Tuesday!Q7+Wednesday!Q7+Thursday!Q7+Friday!Q7+Saturday!Q7</f>
        <v>0</v>
      </c>
      <c r="C17" s="65">
        <f>Monday!R7+Tuesday!R7+Wednesday!R7+Thursday!R7+Friday!R7+Saturday!R7</f>
        <v>0</v>
      </c>
      <c r="D17" s="64">
        <f t="shared" si="4"/>
        <v>0</v>
      </c>
      <c r="E17" s="64">
        <f t="shared" si="5"/>
        <v>0</v>
      </c>
      <c r="F17" s="64">
        <f t="shared" si="3"/>
        <v>0</v>
      </c>
      <c r="H17" s="80"/>
      <c r="I17" s="80"/>
      <c r="J17" s="80"/>
      <c r="K17" s="80"/>
    </row>
    <row r="18" spans="1:11" ht="22" customHeight="1">
      <c r="A18" s="66" t="s">
        <v>2</v>
      </c>
      <c r="B18" s="34">
        <f>Monday!Q8+Tuesday!Q8+Wednesday!Q8+Thursday!Q8+Friday!Q8+Saturday!Q8</f>
        <v>3.4</v>
      </c>
      <c r="C18" s="34">
        <f>Monday!R8+Tuesday!R8+Wednesday!R8+Thursday!R8+Friday!R8+Saturday!R8</f>
        <v>3.5</v>
      </c>
      <c r="D18" s="68">
        <f t="shared" si="4"/>
        <v>0.13076923076923078</v>
      </c>
      <c r="E18" s="68">
        <f t="shared" si="5"/>
        <v>7.3068893528183715E-2</v>
      </c>
      <c r="F18" s="68">
        <f t="shared" si="3"/>
        <v>0.10191906214870725</v>
      </c>
      <c r="H18" s="80"/>
      <c r="I18" s="80"/>
      <c r="J18" s="80"/>
      <c r="K18" s="80"/>
    </row>
    <row r="19" spans="1:11" ht="22" customHeight="1">
      <c r="A19" s="69" t="s">
        <v>3</v>
      </c>
      <c r="B19" s="38">
        <f>Monday!Q9+Tuesday!Q9+Wednesday!Q9+Thursday!Q9+Friday!Q9+Saturday!Q9</f>
        <v>0.1</v>
      </c>
      <c r="C19" s="38">
        <f>Monday!R9+Tuesday!R9+Wednesday!R9+Thursday!R9+Friday!R9+Saturday!R9</f>
        <v>0.1</v>
      </c>
      <c r="D19" s="70">
        <f t="shared" si="4"/>
        <v>3.8461538461538468E-3</v>
      </c>
      <c r="E19" s="70">
        <f t="shared" si="5"/>
        <v>2.0876826722338207E-3</v>
      </c>
      <c r="F19" s="70">
        <f t="shared" si="3"/>
        <v>2.9669182591938337E-3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topLeftCell="A11" zoomScale="140" zoomScaleNormal="140" workbookViewId="0">
      <selection activeCell="E10" sqref="E10:F10"/>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45719</v>
      </c>
      <c r="C1" s="20" t="s">
        <v>95</v>
      </c>
      <c r="D1" s="20" t="s">
        <v>61</v>
      </c>
      <c r="E1" s="20" t="s">
        <v>60</v>
      </c>
      <c r="F1" s="20"/>
      <c r="G1" s="90" t="s">
        <v>53</v>
      </c>
      <c r="H1" s="91"/>
      <c r="I1" s="91"/>
      <c r="J1" s="91"/>
      <c r="L1" s="25" t="s">
        <v>39</v>
      </c>
      <c r="M1" s="89" t="s">
        <v>11</v>
      </c>
      <c r="N1" s="89"/>
      <c r="O1" s="89"/>
      <c r="P1" s="89"/>
      <c r="Q1" s="89" t="s">
        <v>12</v>
      </c>
      <c r="R1" s="89"/>
      <c r="S1" s="89"/>
      <c r="T1" s="89"/>
    </row>
    <row r="2" spans="1:20" s="2" customFormat="1" ht="25" customHeight="1">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s="2" customFormat="1" ht="25" customHeight="1">
      <c r="A3" s="82"/>
      <c r="B3" s="82"/>
      <c r="C3" s="82"/>
      <c r="D3" s="82"/>
      <c r="E3" s="84"/>
      <c r="F3" s="84"/>
      <c r="G3" s="22" t="s">
        <v>44</v>
      </c>
      <c r="H3" s="22" t="s">
        <v>45</v>
      </c>
      <c r="I3" s="22" t="s">
        <v>44</v>
      </c>
      <c r="J3" s="22" t="s">
        <v>45</v>
      </c>
      <c r="K3" s="83"/>
      <c r="L3" s="26"/>
      <c r="M3" s="23"/>
      <c r="N3" s="23"/>
      <c r="O3" s="23"/>
      <c r="P3" s="23"/>
      <c r="Q3" s="23"/>
      <c r="R3" s="6"/>
      <c r="S3" s="23"/>
      <c r="T3" s="23"/>
    </row>
    <row r="4" spans="1:20" s="2" customFormat="1" ht="50" customHeight="1">
      <c r="A4" s="6" t="s">
        <v>10</v>
      </c>
      <c r="B4" s="6" t="str">
        <f>_xlfn.XLOOKUP(A4,TrainingTable[Training Component],TrainingTable[Category of Training Stimulus],"")</f>
        <v>Aerobic Running</v>
      </c>
      <c r="C4" s="6" t="s">
        <v>55</v>
      </c>
      <c r="D4" s="6" t="s">
        <v>67</v>
      </c>
      <c r="E4" s="85" t="s">
        <v>178</v>
      </c>
      <c r="F4" s="85"/>
      <c r="G4" s="23">
        <v>5</v>
      </c>
      <c r="H4" s="23">
        <v>8</v>
      </c>
      <c r="I4" s="23">
        <v>0.5</v>
      </c>
      <c r="J4" s="23">
        <v>0.75</v>
      </c>
      <c r="L4" s="27" t="s">
        <v>69</v>
      </c>
      <c r="M4" s="28">
        <f>SUMIF(Monday_Training_Category,"Aerobic Running",Monday_Training_Time_Lower)</f>
        <v>10</v>
      </c>
      <c r="N4" s="28">
        <f>SUMIF(Monday_Training_Category,"Aerobic Running",Monday_Training_Time_Upper)</f>
        <v>23</v>
      </c>
      <c r="O4" s="39">
        <f t="shared" ref="O4:O9" si="0">M4/$M$10</f>
        <v>0.29411764705882354</v>
      </c>
      <c r="P4" s="39">
        <f t="shared" ref="P4:P10" si="1">N4/$N$10</f>
        <v>0.37096774193548387</v>
      </c>
      <c r="Q4" s="28">
        <f>SUMIF(Monday_Training_Category,"Aerobic Running",Monday_Training_Distance_Lower)</f>
        <v>1.1000000000000001</v>
      </c>
      <c r="R4" s="28">
        <f>SUMIF(Monday_Training_Category,"Aerobic Running",Monday_Training_Distance_Upper)</f>
        <v>2.75</v>
      </c>
      <c r="S4" s="39">
        <f>Q4/$Q$10</f>
        <v>0.26190476190476192</v>
      </c>
      <c r="T4" s="39">
        <f>R4/$R$10</f>
        <v>0.30386740331491718</v>
      </c>
    </row>
    <row r="5" spans="1:20" s="2" customFormat="1" ht="50" customHeight="1">
      <c r="A5" s="6" t="s">
        <v>19</v>
      </c>
      <c r="B5" s="6" t="str">
        <f>_xlfn.XLOOKUP(A5,TrainingTable[Training Component],TrainingTable[Category of Training Stimulus],"")</f>
        <v>Stretching and Mobility</v>
      </c>
      <c r="C5" s="6" t="s">
        <v>55</v>
      </c>
      <c r="D5" s="6" t="s">
        <v>67</v>
      </c>
      <c r="E5" s="85" t="s">
        <v>179</v>
      </c>
      <c r="F5" s="85"/>
      <c r="G5" s="23">
        <v>5</v>
      </c>
      <c r="H5" s="23">
        <v>8</v>
      </c>
      <c r="I5" s="23">
        <v>0.2</v>
      </c>
      <c r="J5" s="23">
        <v>0.2</v>
      </c>
      <c r="L5" s="29" t="s">
        <v>34</v>
      </c>
      <c r="M5" s="30">
        <f>SUMIF(Monday_Training_Category,"Turnover and Pace Work",Monday_Training_Time_Lower)</f>
        <v>5</v>
      </c>
      <c r="N5" s="30">
        <f>SUMIF(Monday_Training_Category,"Turnover and Pace Work",Monday_Training_Time_Upper)</f>
        <v>5</v>
      </c>
      <c r="O5" s="40">
        <f t="shared" si="0"/>
        <v>0.14705882352941177</v>
      </c>
      <c r="P5" s="40">
        <f t="shared" si="1"/>
        <v>8.0645161290322578E-2</v>
      </c>
      <c r="Q5" s="30">
        <f>SUMIF(Monday_Training_Category,"Turnover and Pace Work",Monday_Training_Distance_Lower)</f>
        <v>0.2</v>
      </c>
      <c r="R5" s="30">
        <f>SUMIF(Monday_Training_Category,"Turnover and Pace Work",Monday_Training_Distance_Upper)</f>
        <v>0.2</v>
      </c>
      <c r="S5" s="40">
        <f t="shared" ref="S5:S10" si="2">Q5/$Q$10</f>
        <v>4.7619047619047616E-2</v>
      </c>
      <c r="T5" s="40">
        <f t="shared" ref="T5:T10" si="3">R5/$R$10</f>
        <v>2.2099447513812157E-2</v>
      </c>
    </row>
    <row r="6" spans="1:20" s="2" customFormat="1" ht="50" customHeight="1">
      <c r="A6" s="6" t="s">
        <v>43</v>
      </c>
      <c r="B6" s="6" t="str">
        <f>_xlfn.XLOOKUP(A6,TrainingTable[Training Component],TrainingTable[Category of Training Stimulus],"")</f>
        <v>Turnover and Pace Work</v>
      </c>
      <c r="C6" s="6" t="s">
        <v>55</v>
      </c>
      <c r="D6" s="6" t="s">
        <v>64</v>
      </c>
      <c r="E6" s="85" t="s">
        <v>180</v>
      </c>
      <c r="F6" s="85"/>
      <c r="G6" s="23">
        <v>5</v>
      </c>
      <c r="H6" s="23">
        <v>5</v>
      </c>
      <c r="I6" s="23">
        <v>0.2</v>
      </c>
      <c r="J6" s="23">
        <v>0.2</v>
      </c>
      <c r="L6" s="31" t="s">
        <v>22</v>
      </c>
      <c r="M6" s="32">
        <f>SUMIF(Monday_Training_Category,"Threshold",Monday_Training_Time_Lower)</f>
        <v>15</v>
      </c>
      <c r="N6" s="32">
        <f>SUMIF(Monday_Training_Category,"Threshold",Monday_Training_Time_Upper)</f>
        <v>30</v>
      </c>
      <c r="O6" s="41">
        <f t="shared" si="0"/>
        <v>0.44117647058823528</v>
      </c>
      <c r="P6" s="41">
        <f t="shared" si="1"/>
        <v>0.4838709677419355</v>
      </c>
      <c r="Q6" s="32">
        <f>SUMIF(Monday_Training_Category,"Threshold",Monday_Training_Distance_Lower)</f>
        <v>2.4</v>
      </c>
      <c r="R6" s="32">
        <f>SUMIF(Monday_Training_Category,"Threshold",Monday_Training_Distance_Upper)</f>
        <v>5.5</v>
      </c>
      <c r="S6" s="41">
        <f t="shared" si="2"/>
        <v>0.5714285714285714</v>
      </c>
      <c r="T6" s="41">
        <f t="shared" si="3"/>
        <v>0.60773480662983437</v>
      </c>
    </row>
    <row r="7" spans="1:20" s="2" customFormat="1" ht="50" customHeight="1">
      <c r="A7" s="6" t="s">
        <v>49</v>
      </c>
      <c r="B7" s="6" t="str">
        <f>_xlfn.XLOOKUP(A7,TrainingTable[Training Component],TrainingTable[Category of Training Stimulus],"")</f>
        <v>Recovery</v>
      </c>
      <c r="C7" s="6" t="s">
        <v>57</v>
      </c>
      <c r="D7" s="6" t="s">
        <v>57</v>
      </c>
      <c r="E7" s="85" t="s">
        <v>181</v>
      </c>
      <c r="F7" s="85"/>
      <c r="G7" s="23">
        <v>5</v>
      </c>
      <c r="H7" s="23">
        <v>5</v>
      </c>
      <c r="I7" s="23">
        <v>0</v>
      </c>
      <c r="J7" s="23">
        <v>0</v>
      </c>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t="s">
        <v>31</v>
      </c>
      <c r="B8" s="6" t="str">
        <f>_xlfn.XLOOKUP(A8,TrainingTable[Training Component],TrainingTable[Category of Training Stimulus],"")</f>
        <v>Speed Development</v>
      </c>
      <c r="C8" s="6" t="s">
        <v>56</v>
      </c>
      <c r="D8" s="6" t="s">
        <v>64</v>
      </c>
      <c r="E8" s="85" t="s">
        <v>182</v>
      </c>
      <c r="F8" s="85"/>
      <c r="G8" s="23">
        <v>2</v>
      </c>
      <c r="H8" s="23">
        <v>2</v>
      </c>
      <c r="I8" s="23">
        <v>0.1</v>
      </c>
      <c r="J8" s="23">
        <v>0.1</v>
      </c>
      <c r="L8" s="33" t="s">
        <v>2</v>
      </c>
      <c r="M8" s="34">
        <f>SUMIF(Monday_Training_Category,"Lactate Tolerance",Monday_Training_Time_Lower)</f>
        <v>2</v>
      </c>
      <c r="N8" s="34">
        <f>SUMIF(Monday_Training_Category,"Lactate Tolerance",Monday_Training_Time_Upper)</f>
        <v>2</v>
      </c>
      <c r="O8" s="43">
        <f t="shared" si="0"/>
        <v>5.8823529411764705E-2</v>
      </c>
      <c r="P8" s="43">
        <f t="shared" si="1"/>
        <v>3.2258064516129031E-2</v>
      </c>
      <c r="Q8" s="34">
        <f>SUMIF(Monday_Training_Category,"Lactate Tolerance",Monday_Training_Distance_Lower)</f>
        <v>0.4</v>
      </c>
      <c r="R8" s="34">
        <f>SUMIF(Monday_Training_Category,"Lactate Tolerance",Monday_Training_Distance_Upper)</f>
        <v>0.5</v>
      </c>
      <c r="S8" s="43">
        <f t="shared" si="2"/>
        <v>9.5238095238095233E-2</v>
      </c>
      <c r="T8" s="43">
        <f t="shared" si="3"/>
        <v>5.5248618784530391E-2</v>
      </c>
    </row>
    <row r="9" spans="1:20" s="2" customFormat="1" ht="50" customHeight="1">
      <c r="A9" s="6" t="s">
        <v>49</v>
      </c>
      <c r="B9" s="6" t="str">
        <f>_xlfn.XLOOKUP(A9,TrainingTable[Training Component],TrainingTable[Category of Training Stimulus],"")</f>
        <v>Recovery</v>
      </c>
      <c r="C9" s="6" t="s">
        <v>57</v>
      </c>
      <c r="D9" s="6" t="s">
        <v>57</v>
      </c>
      <c r="E9" s="85" t="s">
        <v>183</v>
      </c>
      <c r="F9" s="85"/>
      <c r="G9" s="23">
        <v>5</v>
      </c>
      <c r="H9" s="23">
        <v>5</v>
      </c>
      <c r="I9" s="23">
        <v>0</v>
      </c>
      <c r="J9" s="23">
        <v>0</v>
      </c>
      <c r="L9" s="37" t="s">
        <v>3</v>
      </c>
      <c r="M9" s="38">
        <f>SUMIF(Monday_Training_Category,"Speed Development",Monday_Training_Time_Lower)</f>
        <v>2</v>
      </c>
      <c r="N9" s="38">
        <f>SUMIF(Monday_Training_Category,"Speed Development",Monday_Training_Time_Upper)</f>
        <v>2</v>
      </c>
      <c r="O9" s="44">
        <f t="shared" si="0"/>
        <v>5.8823529411764705E-2</v>
      </c>
      <c r="P9" s="44">
        <f t="shared" si="1"/>
        <v>3.2258064516129031E-2</v>
      </c>
      <c r="Q9" s="38">
        <f>SUMIF(Monday_Training_Category,"Speed Development",Monday_Training_Distance_Lower)</f>
        <v>0.1</v>
      </c>
      <c r="R9" s="38">
        <f>SUMIF(Monday_Training_Category,"Speed Development",Monday_Training_Distance_Upper)</f>
        <v>0.1</v>
      </c>
      <c r="S9" s="44">
        <f t="shared" si="2"/>
        <v>2.3809523809523808E-2</v>
      </c>
      <c r="T9" s="44">
        <f t="shared" si="3"/>
        <v>1.1049723756906079E-2</v>
      </c>
    </row>
    <row r="10" spans="1:20" s="2" customFormat="1" ht="50" customHeight="1">
      <c r="A10" s="6" t="s">
        <v>23</v>
      </c>
      <c r="B10" s="6" t="str">
        <f>_xlfn.XLOOKUP(A10,TrainingTable[Training Component],TrainingTable[Category of Training Stimulus],"")</f>
        <v>Threshold</v>
      </c>
      <c r="C10" s="6" t="s">
        <v>58</v>
      </c>
      <c r="D10" s="6" t="s">
        <v>64</v>
      </c>
      <c r="E10" s="85" t="s">
        <v>195</v>
      </c>
      <c r="F10" s="85"/>
      <c r="G10" s="23">
        <v>15</v>
      </c>
      <c r="H10" s="23">
        <v>30</v>
      </c>
      <c r="I10" s="23">
        <v>2.4</v>
      </c>
      <c r="J10" s="23">
        <v>5.5</v>
      </c>
      <c r="L10" s="46" t="s">
        <v>72</v>
      </c>
      <c r="M10" s="23">
        <f>SUM(M4:M9)</f>
        <v>34</v>
      </c>
      <c r="N10" s="23">
        <f>SUM(N4:N9)</f>
        <v>62</v>
      </c>
      <c r="O10" s="47">
        <f>M10/M10</f>
        <v>1</v>
      </c>
      <c r="P10" s="45">
        <f t="shared" si="1"/>
        <v>1</v>
      </c>
      <c r="Q10" s="23">
        <f>SUM(Q4:Q9)</f>
        <v>4.2</v>
      </c>
      <c r="R10" s="23">
        <f>SUM(R4:R9)</f>
        <v>9.0499999999999989</v>
      </c>
      <c r="S10" s="47">
        <f t="shared" si="2"/>
        <v>1</v>
      </c>
      <c r="T10" s="47">
        <f t="shared" si="3"/>
        <v>1</v>
      </c>
    </row>
    <row r="11" spans="1:20" s="2" customFormat="1" ht="50" customHeight="1">
      <c r="A11" s="6" t="s">
        <v>49</v>
      </c>
      <c r="B11" s="6" t="str">
        <f>_xlfn.XLOOKUP(A11,TrainingTable[Training Component],TrainingTable[Category of Training Stimulus],"")</f>
        <v>Recovery</v>
      </c>
      <c r="C11" s="6" t="s">
        <v>57</v>
      </c>
      <c r="D11" s="6" t="s">
        <v>57</v>
      </c>
      <c r="E11" s="85" t="s">
        <v>184</v>
      </c>
      <c r="F11" s="85"/>
      <c r="G11" s="23">
        <v>5</v>
      </c>
      <c r="H11" s="23">
        <v>5</v>
      </c>
      <c r="I11" s="23">
        <v>0</v>
      </c>
      <c r="J11" s="23">
        <v>0</v>
      </c>
      <c r="L11" s="24"/>
      <c r="M11" s="16"/>
      <c r="N11" s="16"/>
      <c r="O11" s="16"/>
      <c r="P11" s="16"/>
      <c r="Q11" s="16"/>
      <c r="S11" s="16"/>
      <c r="T11" s="16"/>
    </row>
    <row r="12" spans="1:20" s="2" customFormat="1" ht="50" customHeight="1">
      <c r="A12" s="6" t="s">
        <v>28</v>
      </c>
      <c r="B12" s="6" t="str">
        <f>_xlfn.XLOOKUP(A12,TrainingTable[Training Component],TrainingTable[Category of Training Stimulus],"")</f>
        <v>Lactate Tolerance</v>
      </c>
      <c r="C12" s="6" t="s">
        <v>56</v>
      </c>
      <c r="D12" s="6" t="s">
        <v>64</v>
      </c>
      <c r="E12" s="85" t="s">
        <v>185</v>
      </c>
      <c r="F12" s="85"/>
      <c r="G12" s="23">
        <v>2</v>
      </c>
      <c r="H12" s="23">
        <v>2</v>
      </c>
      <c r="I12" s="23">
        <v>0.4</v>
      </c>
      <c r="J12" s="23">
        <v>0.5</v>
      </c>
      <c r="L12" s="24"/>
      <c r="M12" s="16"/>
      <c r="N12" s="16"/>
      <c r="O12" s="16"/>
      <c r="P12" s="16"/>
      <c r="Q12" s="16"/>
      <c r="S12" s="16"/>
      <c r="T12" s="16"/>
    </row>
    <row r="13" spans="1:20" s="2" customFormat="1" ht="50" customHeight="1">
      <c r="A13" s="6" t="s">
        <v>49</v>
      </c>
      <c r="B13" s="6" t="str">
        <f>_xlfn.XLOOKUP(A13,TrainingTable[Training Component],TrainingTable[Category of Training Stimulus],"")</f>
        <v>Recovery</v>
      </c>
      <c r="C13" s="6" t="s">
        <v>57</v>
      </c>
      <c r="D13" s="6" t="s">
        <v>57</v>
      </c>
      <c r="E13" s="85" t="s">
        <v>186</v>
      </c>
      <c r="F13" s="85"/>
      <c r="G13" s="23">
        <v>5</v>
      </c>
      <c r="H13" s="23">
        <v>5</v>
      </c>
      <c r="I13" s="23">
        <v>0</v>
      </c>
      <c r="J13" s="23">
        <v>0</v>
      </c>
      <c r="L13" s="24"/>
      <c r="M13" s="16"/>
      <c r="N13" s="16"/>
      <c r="O13" s="16"/>
      <c r="P13" s="16"/>
      <c r="Q13" s="16"/>
      <c r="S13" s="16"/>
      <c r="T13" s="16"/>
    </row>
    <row r="14" spans="1:20" s="2" customFormat="1" ht="50" customHeight="1">
      <c r="A14" s="6" t="s">
        <v>14</v>
      </c>
      <c r="B14" s="6" t="str">
        <f>_xlfn.XLOOKUP(A14,TrainingTable[Training Component],TrainingTable[Category of Training Stimulus],"")</f>
        <v>Aerobic Running</v>
      </c>
      <c r="C14" s="6" t="s">
        <v>57</v>
      </c>
      <c r="D14" s="6" t="s">
        <v>57</v>
      </c>
      <c r="E14" s="85" t="s">
        <v>177</v>
      </c>
      <c r="F14" s="85"/>
      <c r="G14" s="23">
        <v>5</v>
      </c>
      <c r="H14" s="23">
        <v>15</v>
      </c>
      <c r="I14" s="23">
        <v>0.6</v>
      </c>
      <c r="J14" s="23">
        <v>2</v>
      </c>
      <c r="L14" s="24"/>
      <c r="M14" s="16"/>
      <c r="N14" s="16"/>
      <c r="O14" s="16"/>
      <c r="P14" s="16"/>
      <c r="Q14" s="16"/>
      <c r="S14" s="16"/>
      <c r="T14" s="16"/>
    </row>
    <row r="15" spans="1:20" s="2" customFormat="1" ht="50" customHeight="1">
      <c r="A15" s="6" t="s">
        <v>21</v>
      </c>
      <c r="B15" s="6" t="str">
        <f>_xlfn.XLOOKUP(A15,TrainingTable[Training Component],TrainingTable[Category of Training Stimulus],"")</f>
        <v>Stretching and Mobility</v>
      </c>
      <c r="C15" s="6" t="s">
        <v>57</v>
      </c>
      <c r="D15" s="6" t="s">
        <v>57</v>
      </c>
      <c r="E15" s="85" t="s">
        <v>187</v>
      </c>
      <c r="F15" s="85"/>
      <c r="G15" s="23">
        <v>5</v>
      </c>
      <c r="H15" s="23">
        <v>5</v>
      </c>
      <c r="I15" s="23">
        <v>0</v>
      </c>
      <c r="J15" s="23">
        <v>0</v>
      </c>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5"/>
      <c r="F16" s="85"/>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5"/>
      <c r="F17" s="85"/>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5"/>
      <c r="F18" s="85"/>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5"/>
      <c r="F19" s="85"/>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5"/>
      <c r="F20" s="85"/>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5"/>
      <c r="F21" s="85"/>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5"/>
      <c r="F22" s="85"/>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5"/>
      <c r="F23" s="85"/>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5"/>
      <c r="F24" s="85"/>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5"/>
      <c r="F25" s="85"/>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5"/>
      <c r="F26" s="85"/>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6"/>
      <c r="F27" s="86"/>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6"/>
      <c r="F28" s="86"/>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6"/>
      <c r="F29" s="86"/>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Q2:T2"/>
    <mergeCell ref="E11:F11"/>
    <mergeCell ref="M2:P2"/>
    <mergeCell ref="M1:P1"/>
    <mergeCell ref="Q1:T1"/>
    <mergeCell ref="G1:J1"/>
    <mergeCell ref="E4:F4"/>
    <mergeCell ref="G2:H2"/>
    <mergeCell ref="I2:J2"/>
    <mergeCell ref="E29:F29"/>
    <mergeCell ref="E18:F18"/>
    <mergeCell ref="E19:F19"/>
    <mergeCell ref="E20:F20"/>
    <mergeCell ref="E21:F21"/>
    <mergeCell ref="E22:F22"/>
    <mergeCell ref="E23:F23"/>
    <mergeCell ref="E24:F24"/>
    <mergeCell ref="E25:F25"/>
    <mergeCell ref="E26:F26"/>
    <mergeCell ref="E27:F27"/>
    <mergeCell ref="E28:F28"/>
    <mergeCell ref="E17:F17"/>
    <mergeCell ref="E5:F5"/>
    <mergeCell ref="E6:F6"/>
    <mergeCell ref="E7:F7"/>
    <mergeCell ref="E8:F8"/>
    <mergeCell ref="E9:F9"/>
    <mergeCell ref="E10:F10"/>
    <mergeCell ref="E12:F12"/>
    <mergeCell ref="E13:F13"/>
    <mergeCell ref="E14:F14"/>
    <mergeCell ref="E15:F15"/>
    <mergeCell ref="E16:F16"/>
    <mergeCell ref="A2:A3"/>
    <mergeCell ref="B2:B3"/>
    <mergeCell ref="K2:K3"/>
    <mergeCell ref="D2:D3"/>
    <mergeCell ref="C2:C3"/>
    <mergeCell ref="E2:F3"/>
  </mergeCells>
  <conditionalFormatting sqref="A4:F4">
    <cfRule type="expression" dxfId="1103" priority="368">
      <formula>$B$4="Speed Development"</formula>
    </cfRule>
    <cfRule type="expression" dxfId="1102" priority="367">
      <formula>$B$4="Lactate Tolerance"</formula>
    </cfRule>
    <cfRule type="expression" dxfId="1101" priority="366">
      <formula>$B$4="VO2 Max"</formula>
    </cfRule>
    <cfRule type="expression" dxfId="1100" priority="365">
      <formula>$B$4="Threshold"</formula>
    </cfRule>
    <cfRule type="expression" dxfId="1099" priority="364">
      <formula>$B$4="Turnover and Pace Work"</formula>
    </cfRule>
    <cfRule type="expression" dxfId="1098" priority="363">
      <formula>$B$4="Aerobic Running"</formula>
    </cfRule>
    <cfRule type="expression" dxfId="1097" priority="362">
      <formula>$B$4="Stretching and Mobility"</formula>
    </cfRule>
    <cfRule type="expression" dxfId="1096" priority="361">
      <formula>$B$4="Recovery"</formula>
    </cfRule>
  </conditionalFormatting>
  <conditionalFormatting sqref="A5:F5">
    <cfRule type="expression" dxfId="1095" priority="176">
      <formula>$B$5="Speed Development"</formula>
    </cfRule>
    <cfRule type="expression" dxfId="1094" priority="175">
      <formula>$B$5="Lactate Tolerance"</formula>
    </cfRule>
    <cfRule type="expression" dxfId="1093" priority="174">
      <formula>$B$5="VO2 Max"</formula>
    </cfRule>
    <cfRule type="expression" dxfId="1092" priority="173">
      <formula>$B$5="Threshold"</formula>
    </cfRule>
    <cfRule type="expression" dxfId="1091" priority="172">
      <formula>$B$5="Turnover and Pace Work"</formula>
    </cfRule>
    <cfRule type="expression" dxfId="1090" priority="171">
      <formula>$B$5="Aerobic Running"</formula>
    </cfRule>
    <cfRule type="expression" dxfId="1089" priority="170">
      <formula>$B$5="Stretching and Mobility"</formula>
    </cfRule>
    <cfRule type="expression" dxfId="1088" priority="169">
      <formula>$B$5="Recovery"</formula>
    </cfRule>
  </conditionalFormatting>
  <conditionalFormatting sqref="A6:F6">
    <cfRule type="expression" dxfId="1087" priority="164">
      <formula>$B$6="Turnover and Pace Work"</formula>
    </cfRule>
    <cfRule type="expression" dxfId="1086" priority="167">
      <formula>$B$6="Lactate Tolerance"</formula>
    </cfRule>
    <cfRule type="expression" dxfId="1085" priority="166">
      <formula>$B$6="VO2 Max"</formula>
    </cfRule>
    <cfRule type="expression" dxfId="1084" priority="165">
      <formula>$B$6="Threshold"</formula>
    </cfRule>
    <cfRule type="expression" dxfId="1083" priority="168">
      <formula>$B$6="Speed Development"</formula>
    </cfRule>
    <cfRule type="expression" dxfId="1082" priority="163">
      <formula>$B$6="Aerobic Running"</formula>
    </cfRule>
    <cfRule type="expression" dxfId="1081" priority="162">
      <formula>$B$6="Stretching and Mobility"</formula>
    </cfRule>
    <cfRule type="expression" dxfId="1080" priority="161">
      <formula>$B$6="Recovery"</formula>
    </cfRule>
  </conditionalFormatting>
  <conditionalFormatting sqref="A7:F7">
    <cfRule type="expression" dxfId="1079" priority="160">
      <formula>$B$7="Speed Development"</formula>
    </cfRule>
    <cfRule type="expression" dxfId="1078" priority="159">
      <formula>$B$7="Lactate Tolerance"</formula>
    </cfRule>
    <cfRule type="expression" dxfId="1077" priority="158">
      <formula>$B$7="VO2 Max"</formula>
    </cfRule>
    <cfRule type="expression" dxfId="1076" priority="157">
      <formula>$B$7="Threshold"</formula>
    </cfRule>
    <cfRule type="expression" dxfId="1075" priority="156">
      <formula>$B$7="Turnover and Pace Work"</formula>
    </cfRule>
    <cfRule type="expression" dxfId="1074" priority="155">
      <formula>$B$7="Aerobic Running"</formula>
    </cfRule>
    <cfRule type="expression" dxfId="1073" priority="154">
      <formula>$B$7="Stretching and Mobility"</formula>
    </cfRule>
    <cfRule type="expression" dxfId="1072" priority="153">
      <formula>$B$7="Recovery"</formula>
    </cfRule>
  </conditionalFormatting>
  <conditionalFormatting sqref="A8:F8">
    <cfRule type="expression" dxfId="1071" priority="152">
      <formula>$B$8="Speed Development"</formula>
    </cfRule>
    <cfRule type="expression" dxfId="1070" priority="151">
      <formula>$B$8="Lactate Tolerance"</formula>
    </cfRule>
    <cfRule type="expression" dxfId="1069" priority="150">
      <formula>$B$8="VO2 Max"</formula>
    </cfRule>
    <cfRule type="expression" dxfId="1068" priority="149">
      <formula>$B$8="Threshold"</formula>
    </cfRule>
    <cfRule type="expression" dxfId="1067" priority="148">
      <formula>$B$8="Turnover and Pace Work"</formula>
    </cfRule>
    <cfRule type="expression" dxfId="1066" priority="147">
      <formula>$B$8="Aerobic Running"</formula>
    </cfRule>
    <cfRule type="expression" dxfId="1065" priority="146">
      <formula>$B$8="Stretching and Mobility"</formula>
    </cfRule>
    <cfRule type="expression" dxfId="1064" priority="145">
      <formula>$B$8="Recovery"</formula>
    </cfRule>
  </conditionalFormatting>
  <conditionalFormatting sqref="A9:F9">
    <cfRule type="expression" dxfId="1063" priority="140">
      <formula>$B$9="Turnover and Pace Work"</formula>
    </cfRule>
    <cfRule type="expression" dxfId="1062" priority="143">
      <formula>$B$9="Lactate Tolerance"</formula>
    </cfRule>
    <cfRule type="expression" dxfId="1061" priority="142">
      <formula>$B$9="VO2 Max"</formula>
    </cfRule>
    <cfRule type="expression" dxfId="1060" priority="141">
      <formula>$B$9="Threshold"</formula>
    </cfRule>
    <cfRule type="expression" dxfId="1059" priority="144">
      <formula>$B$9="Speed Development"</formula>
    </cfRule>
    <cfRule type="expression" dxfId="1058" priority="139">
      <formula>$B$9="Aerobic Running"</formula>
    </cfRule>
    <cfRule type="expression" dxfId="1057" priority="138">
      <formula>$B$9="Stretching and Mobility"</formula>
    </cfRule>
    <cfRule type="expression" dxfId="1056" priority="137">
      <formula>$B$9="Recovery"</formula>
    </cfRule>
  </conditionalFormatting>
  <conditionalFormatting sqref="A10:F10">
    <cfRule type="expression" dxfId="1055" priority="136">
      <formula>$B$10="Speed Development"</formula>
    </cfRule>
    <cfRule type="expression" dxfId="1054" priority="135">
      <formula>$B$10="Lactate Tolerance"</formula>
    </cfRule>
    <cfRule type="expression" dxfId="1053" priority="134">
      <formula>$B$10="VO2 Max"</formula>
    </cfRule>
    <cfRule type="expression" dxfId="1052" priority="133">
      <formula>$B$10="Threshold"</formula>
    </cfRule>
    <cfRule type="expression" dxfId="1051" priority="132">
      <formula>$B$10="Turnover and Pace Work"</formula>
    </cfRule>
    <cfRule type="expression" dxfId="1050" priority="131">
      <formula>$B$10="Aerobic Running"</formula>
    </cfRule>
    <cfRule type="expression" dxfId="1049" priority="130">
      <formula>$B$10="Stretching and Mobility"</formula>
    </cfRule>
    <cfRule type="expression" dxfId="1048" priority="129">
      <formula>$B$10="Recovery"</formula>
    </cfRule>
  </conditionalFormatting>
  <conditionalFormatting sqref="A11:F11">
    <cfRule type="expression" dxfId="1047" priority="128">
      <formula>$B$11="Speed Development"</formula>
    </cfRule>
    <cfRule type="expression" dxfId="1046" priority="127">
      <formula>$B$11="Lactate Tolerance"</formula>
    </cfRule>
    <cfRule type="expression" dxfId="1045" priority="126">
      <formula>$B$11="VO2 Max"</formula>
    </cfRule>
    <cfRule type="expression" dxfId="1044" priority="125">
      <formula>$B$11="Threshold"</formula>
    </cfRule>
    <cfRule type="expression" dxfId="1043" priority="124">
      <formula>$B$11="Turnover and Pace Work"</formula>
    </cfRule>
    <cfRule type="expression" dxfId="1042" priority="123">
      <formula>$B$11="Aerobic Running"</formula>
    </cfRule>
    <cfRule type="expression" dxfId="1041" priority="122">
      <formula>$B$11="Stretching and Mobility"</formula>
    </cfRule>
    <cfRule type="expression" dxfId="1040" priority="121">
      <formula>$B$11="Recovery"</formula>
    </cfRule>
  </conditionalFormatting>
  <conditionalFormatting sqref="A12:F12">
    <cfRule type="expression" dxfId="1039" priority="120">
      <formula>$B$12="Speed Development"</formula>
    </cfRule>
    <cfRule type="expression" dxfId="1038" priority="119">
      <formula>$B$12="Lactate Tolerance"</formula>
    </cfRule>
    <cfRule type="expression" dxfId="1037" priority="118">
      <formula>$B$12="VO2 Max"</formula>
    </cfRule>
    <cfRule type="expression" dxfId="1036" priority="117">
      <formula>$B$12="Threshold"</formula>
    </cfRule>
    <cfRule type="expression" dxfId="1035" priority="116">
      <formula>$B$12="Turnover and Pace Work"</formula>
    </cfRule>
    <cfRule type="expression" dxfId="1034" priority="115">
      <formula>$B$12="Aerobic Running"</formula>
    </cfRule>
    <cfRule type="expression" dxfId="1033" priority="114">
      <formula>$B$12="Stretching and Mobility"</formula>
    </cfRule>
    <cfRule type="expression" dxfId="1032" priority="113">
      <formula>$B$12="Recovery"</formula>
    </cfRule>
  </conditionalFormatting>
  <conditionalFormatting sqref="A13:F13">
    <cfRule type="expression" dxfId="1031" priority="112">
      <formula>$B$13="Speed Development"</formula>
    </cfRule>
    <cfRule type="expression" dxfId="1030" priority="111">
      <formula>$B$13="Lactate Tolerance"</formula>
    </cfRule>
    <cfRule type="expression" dxfId="1029" priority="110">
      <formula>$B$13="VO2 Max"</formula>
    </cfRule>
    <cfRule type="expression" dxfId="1028" priority="109">
      <formula>$B$13="Threshold"</formula>
    </cfRule>
    <cfRule type="expression" dxfId="1027" priority="108">
      <formula>$B$13="Turnover and Pace Work"</formula>
    </cfRule>
    <cfRule type="expression" dxfId="1026" priority="107">
      <formula>$B$13="Aerobic Running"</formula>
    </cfRule>
    <cfRule type="expression" dxfId="1025" priority="106">
      <formula>$B$13="Stretching and Mobility"</formula>
    </cfRule>
    <cfRule type="expression" dxfId="1024" priority="105">
      <formula>$B$13="Recovery"</formula>
    </cfRule>
  </conditionalFormatting>
  <conditionalFormatting sqref="A14:F14">
    <cfRule type="expression" dxfId="1023" priority="104">
      <formula>$B$14="Speed Development"</formula>
    </cfRule>
    <cfRule type="expression" dxfId="1022" priority="103">
      <formula>$B$14="Lactate Tolerance"</formula>
    </cfRule>
    <cfRule type="expression" dxfId="1021" priority="102">
      <formula>$B$14="VO2 Max"</formula>
    </cfRule>
    <cfRule type="expression" dxfId="1020" priority="101">
      <formula>$B$14="Threshold"</formula>
    </cfRule>
    <cfRule type="expression" dxfId="1019" priority="100">
      <formula>$B$14="Turnover and Pace Work"</formula>
    </cfRule>
    <cfRule type="expression" dxfId="1018" priority="99">
      <formula>$B$14="Aerobic Running"</formula>
    </cfRule>
    <cfRule type="expression" dxfId="1017" priority="98">
      <formula>$B$14="Stretching and Mobility"</formula>
    </cfRule>
    <cfRule type="expression" dxfId="1016" priority="97">
      <formula>$B$14="Recovery"</formula>
    </cfRule>
  </conditionalFormatting>
  <conditionalFormatting sqref="A15:F15">
    <cfRule type="expression" dxfId="1015" priority="93">
      <formula>$B$15="Threshold"</formula>
    </cfRule>
    <cfRule type="expression" dxfId="1014" priority="90">
      <formula>$B$15="Stretching and Mobility"</formula>
    </cfRule>
    <cfRule type="expression" dxfId="1013" priority="91">
      <formula>$B$15="Aerobic Running"</formula>
    </cfRule>
    <cfRule type="expression" dxfId="1012" priority="92">
      <formula>$B$15="Turnover and Pace Work"</formula>
    </cfRule>
    <cfRule type="expression" dxfId="1011" priority="89">
      <formula>$B$15="Recovery"</formula>
    </cfRule>
    <cfRule type="expression" dxfId="1010" priority="94">
      <formula>$B$15="VO2 Max"</formula>
    </cfRule>
    <cfRule type="expression" dxfId="1009" priority="95">
      <formula>$B$15="Lactate Tolerance"</formula>
    </cfRule>
    <cfRule type="expression" dxfId="1008" priority="96">
      <formula>$B$15="Speed Development"</formula>
    </cfRule>
  </conditionalFormatting>
  <conditionalFormatting sqref="A16:F16">
    <cfRule type="expression" dxfId="1007" priority="88">
      <formula>$B$16="Speed Development"</formula>
    </cfRule>
    <cfRule type="expression" dxfId="1006" priority="87">
      <formula>$B$16="Lactate Tolerance"</formula>
    </cfRule>
    <cfRule type="expression" dxfId="1005" priority="86">
      <formula>$B$16="VO2 Max"</formula>
    </cfRule>
    <cfRule type="expression" dxfId="1004" priority="85">
      <formula>$B$16="Threshold"</formula>
    </cfRule>
    <cfRule type="expression" dxfId="1003" priority="84">
      <formula>$B$16="Turnover and Pace Work"</formula>
    </cfRule>
    <cfRule type="expression" dxfId="1002" priority="83">
      <formula>$B$16="Aerobic Running"</formula>
    </cfRule>
    <cfRule type="expression" dxfId="1001" priority="82">
      <formula>$B$16="Stretching and Mobility"</formula>
    </cfRule>
    <cfRule type="expression" dxfId="1000" priority="81">
      <formula>$B$16="Recovery"</formula>
    </cfRule>
  </conditionalFormatting>
  <conditionalFormatting sqref="A17:F17">
    <cfRule type="expression" dxfId="999" priority="80">
      <formula>$B$17="Speed Development"</formula>
    </cfRule>
    <cfRule type="expression" dxfId="998" priority="79">
      <formula>$B$17="Lactate Tolerance"</formula>
    </cfRule>
    <cfRule type="expression" dxfId="997" priority="78">
      <formula>$B$17="VO2 Max"</formula>
    </cfRule>
    <cfRule type="expression" dxfId="996" priority="77">
      <formula>$B$17="Threshold"</formula>
    </cfRule>
    <cfRule type="expression" dxfId="995" priority="76">
      <formula>$B$17="Turnover and Pace Work"</formula>
    </cfRule>
    <cfRule type="expression" dxfId="994" priority="75">
      <formula>$B$17="Aerobic Running"</formula>
    </cfRule>
    <cfRule type="expression" dxfId="993" priority="74">
      <formula>$B$17="Stretching and Mobility"</formula>
    </cfRule>
    <cfRule type="expression" dxfId="992" priority="73">
      <formula>$B$17="Recovery"</formula>
    </cfRule>
  </conditionalFormatting>
  <conditionalFormatting sqref="A18:F18">
    <cfRule type="expression" dxfId="991" priority="72">
      <formula>$B$18="Speed Development"</formula>
    </cfRule>
    <cfRule type="expression" dxfId="990" priority="71">
      <formula>$B$18="Lactate Tolerance"</formula>
    </cfRule>
    <cfRule type="expression" dxfId="989" priority="70">
      <formula>$B$18="VO2 Max"</formula>
    </cfRule>
    <cfRule type="expression" dxfId="988" priority="69">
      <formula>$B$18="Threshold"</formula>
    </cfRule>
    <cfRule type="expression" dxfId="987" priority="68">
      <formula>$B$18="Turnover and Pace Work"</formula>
    </cfRule>
    <cfRule type="expression" dxfId="986" priority="67">
      <formula>$B$18="Aerobic Running"</formula>
    </cfRule>
    <cfRule type="expression" dxfId="985" priority="66">
      <formula>$B$18="Stretching and Mobility"</formula>
    </cfRule>
    <cfRule type="expression" dxfId="984" priority="65">
      <formula>$B$18="Recovery"</formula>
    </cfRule>
  </conditionalFormatting>
  <conditionalFormatting sqref="A19:F19">
    <cfRule type="expression" dxfId="983" priority="64">
      <formula>$B$19="Speed Development"</formula>
    </cfRule>
    <cfRule type="expression" dxfId="982" priority="63">
      <formula>$B$19="Lactate Tolerance"</formula>
    </cfRule>
    <cfRule type="expression" dxfId="981" priority="62">
      <formula>$B$19="VO2 Max"</formula>
    </cfRule>
    <cfRule type="expression" dxfId="980" priority="61">
      <formula>$B$19="Threshold"</formula>
    </cfRule>
    <cfRule type="expression" dxfId="979" priority="60">
      <formula>$B$19="Turnover and Pace Work"</formula>
    </cfRule>
    <cfRule type="expression" dxfId="978" priority="59">
      <formula>$B$19="Aerobic Running"</formula>
    </cfRule>
    <cfRule type="expression" dxfId="977" priority="58">
      <formula>$B$19="Stretching and Mobility"</formula>
    </cfRule>
    <cfRule type="expression" dxfId="976" priority="57">
      <formula>$B$19="Recovery"</formula>
    </cfRule>
  </conditionalFormatting>
  <conditionalFormatting sqref="A20:F20">
    <cfRule type="expression" dxfId="975" priority="56">
      <formula>$B$20="Speed Development"</formula>
    </cfRule>
    <cfRule type="expression" dxfId="974" priority="55">
      <formula>$B$20="Lactate Tolerance"</formula>
    </cfRule>
    <cfRule type="expression" dxfId="973" priority="54">
      <formula>$B$20="VO2 Max"</formula>
    </cfRule>
    <cfRule type="expression" dxfId="972" priority="53">
      <formula>$B$20="Threshold"</formula>
    </cfRule>
    <cfRule type="expression" dxfId="971" priority="52">
      <formula>$B$20="Turnover and Pace Work"</formula>
    </cfRule>
    <cfRule type="expression" dxfId="970" priority="51">
      <formula>$B$20="Aerobic Running"</formula>
    </cfRule>
    <cfRule type="expression" dxfId="969" priority="50">
      <formula>$B$20="Stretching and Mobility"</formula>
    </cfRule>
    <cfRule type="expression" dxfId="968" priority="49">
      <formula>$B$20="Recovery"</formula>
    </cfRule>
  </conditionalFormatting>
  <conditionalFormatting sqref="A21:F21">
    <cfRule type="expression" dxfId="967" priority="48">
      <formula>$B$21="Speed Development"</formula>
    </cfRule>
    <cfRule type="expression" dxfId="966" priority="47">
      <formula>$B$21="Lactate Tolerance"</formula>
    </cfRule>
    <cfRule type="expression" dxfId="965" priority="46">
      <formula>$B$21="VO2 Max"</formula>
    </cfRule>
    <cfRule type="expression" dxfId="964" priority="45">
      <formula>$B$21="Threshold"</formula>
    </cfRule>
    <cfRule type="expression" dxfId="963" priority="44">
      <formula>$B$21="Turnover and Pace Work"</formula>
    </cfRule>
    <cfRule type="expression" dxfId="962" priority="43">
      <formula>$B$21="Aerobic Running"</formula>
    </cfRule>
    <cfRule type="expression" dxfId="961" priority="42">
      <formula>$B$21="Stretching and Mobility"</formula>
    </cfRule>
    <cfRule type="expression" dxfId="960" priority="41">
      <formula>$B$21="Recovery"</formula>
    </cfRule>
  </conditionalFormatting>
  <conditionalFormatting sqref="A22:F22">
    <cfRule type="expression" dxfId="959" priority="40">
      <formula>$B$22="Speed Development"</formula>
    </cfRule>
    <cfRule type="expression" dxfId="958" priority="39">
      <formula>$B$22="Lactate Tolerance"</formula>
    </cfRule>
    <cfRule type="expression" dxfId="957" priority="38">
      <formula>$B$22="VO2 Max"</formula>
    </cfRule>
    <cfRule type="expression" dxfId="956" priority="37">
      <formula>$B$22="Threshold"</formula>
    </cfRule>
    <cfRule type="expression" dxfId="955" priority="36">
      <formula>$B$22="Turnover and Pace Work"</formula>
    </cfRule>
    <cfRule type="expression" dxfId="954" priority="35">
      <formula>$B$22="Aerobic Running"</formula>
    </cfRule>
    <cfRule type="expression" dxfId="953" priority="34">
      <formula>$B$22="Stretching and Mobility"</formula>
    </cfRule>
    <cfRule type="expression" dxfId="952" priority="33">
      <formula>$B$22="Recovery"</formula>
    </cfRule>
  </conditionalFormatting>
  <conditionalFormatting sqref="A23:F23">
    <cfRule type="expression" dxfId="951" priority="32">
      <formula>$B$23="Speed Development"</formula>
    </cfRule>
    <cfRule type="expression" dxfId="950" priority="31">
      <formula>$B$23="Lactate Tolerance"</formula>
    </cfRule>
    <cfRule type="expression" dxfId="949" priority="30">
      <formula>$B$23="VO2 Max"</formula>
    </cfRule>
    <cfRule type="expression" dxfId="948" priority="29">
      <formula>$B$23="Threshold"</formula>
    </cfRule>
    <cfRule type="expression" dxfId="947" priority="28">
      <formula>$B$23="Turnover and Pace Work"</formula>
    </cfRule>
    <cfRule type="expression" dxfId="946" priority="27">
      <formula>$B$23="Aerobic Running"</formula>
    </cfRule>
    <cfRule type="expression" dxfId="945" priority="26">
      <formula>$B$23="Stretching and Mobility"</formula>
    </cfRule>
    <cfRule type="expression" dxfId="944" priority="25">
      <formula>$B$23="Recovery"</formula>
    </cfRule>
  </conditionalFormatting>
  <conditionalFormatting sqref="A24:F24">
    <cfRule type="expression" dxfId="943" priority="24">
      <formula>$B$24="Speed Development"</formula>
    </cfRule>
    <cfRule type="expression" dxfId="942" priority="23">
      <formula>$B$24="Lactate Tolerance"</formula>
    </cfRule>
    <cfRule type="expression" dxfId="941" priority="22">
      <formula>$B$24="VO2 Max"</formula>
    </cfRule>
    <cfRule type="expression" dxfId="940" priority="21">
      <formula>$B$24="Threshold"</formula>
    </cfRule>
    <cfRule type="expression" dxfId="939" priority="20">
      <formula>$B$24="Turnover and Pace Work"</formula>
    </cfRule>
    <cfRule type="expression" dxfId="938" priority="19">
      <formula>$B$24="Aerobic Running"</formula>
    </cfRule>
    <cfRule type="expression" dxfId="937" priority="18">
      <formula>$B$24="Stretching and Mobility"</formula>
    </cfRule>
    <cfRule type="expression" dxfId="936" priority="17">
      <formula>$B$24="Recovery"</formula>
    </cfRule>
  </conditionalFormatting>
  <conditionalFormatting sqref="A25:F25">
    <cfRule type="expression" dxfId="935" priority="16">
      <formula>$B$25="Speed Development"</formula>
    </cfRule>
    <cfRule type="expression" dxfId="934" priority="15">
      <formula>$B$25="Lactate Tolerance"</formula>
    </cfRule>
    <cfRule type="expression" dxfId="933" priority="14">
      <formula>$B$25="VO2 Max"</formula>
    </cfRule>
    <cfRule type="expression" dxfId="932" priority="13">
      <formula>$B$25="Threshold"</formula>
    </cfRule>
    <cfRule type="expression" dxfId="931" priority="12">
      <formula>$B$25="Turnover and Pace Work"</formula>
    </cfRule>
    <cfRule type="expression" dxfId="930" priority="11">
      <formula>$B$25="Aerobic Running"</formula>
    </cfRule>
    <cfRule type="expression" dxfId="929" priority="10">
      <formula>$B$25="Stretching and Mobility"</formula>
    </cfRule>
    <cfRule type="expression" dxfId="928" priority="9">
      <formula>$B$25="Recovery"</formula>
    </cfRule>
  </conditionalFormatting>
  <conditionalFormatting sqref="A26:F26">
    <cfRule type="expression" dxfId="927" priority="8">
      <formula>$B$26="Speed Development"</formula>
    </cfRule>
    <cfRule type="expression" dxfId="926" priority="7">
      <formula>$B$26="Lactate Tolerance"</formula>
    </cfRule>
    <cfRule type="expression" dxfId="925" priority="6">
      <formula>$B$26="VO2 Max"</formula>
    </cfRule>
    <cfRule type="expression" dxfId="924" priority="5">
      <formula>$B$26="Threshold"</formula>
    </cfRule>
    <cfRule type="expression" dxfId="923" priority="4">
      <formula>$B$26="Turnover and Pace Work"</formula>
    </cfRule>
    <cfRule type="expression" dxfId="922" priority="3">
      <formula>$B$26="Aerobic Running"</formula>
    </cfRule>
    <cfRule type="expression" dxfId="921" priority="2">
      <formula>$B$26="Stretching and Mobility"</formula>
    </cfRule>
    <cfRule type="expression" dxfId="92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C2" sqref="C2:C3"/>
    </sheetView>
  </sheetViews>
  <sheetFormatPr baseColWidth="10" defaultRowHeight="16"/>
  <cols>
    <col min="1" max="1" width="23.33203125" customWidth="1"/>
    <col min="2" max="2" width="25.5" customWidth="1"/>
    <col min="3" max="3" width="17.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73</v>
      </c>
      <c r="B1" s="21">
        <v>45720</v>
      </c>
      <c r="C1" s="20" t="s">
        <v>97</v>
      </c>
      <c r="D1" s="20" t="s">
        <v>171</v>
      </c>
      <c r="E1" s="92" t="s">
        <v>60</v>
      </c>
      <c r="F1" s="92"/>
      <c r="G1" s="90" t="s">
        <v>53</v>
      </c>
      <c r="H1" s="91"/>
      <c r="I1" s="91"/>
      <c r="J1" s="91"/>
      <c r="L1" s="25" t="s">
        <v>39</v>
      </c>
      <c r="M1" s="89" t="s">
        <v>11</v>
      </c>
      <c r="N1" s="89"/>
      <c r="O1" s="89"/>
      <c r="P1" s="89"/>
      <c r="Q1" s="89" t="s">
        <v>12</v>
      </c>
      <c r="R1" s="89"/>
      <c r="S1" s="89"/>
      <c r="T1" s="89"/>
    </row>
    <row r="2" spans="1:20" ht="25" customHeight="1">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25" customHeight="1">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188</v>
      </c>
      <c r="F4" s="85"/>
      <c r="G4" s="23">
        <v>30</v>
      </c>
      <c r="H4" s="23">
        <v>60</v>
      </c>
      <c r="I4" s="23">
        <v>3</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0.88235294117647056</v>
      </c>
      <c r="T4" s="39">
        <f>R4/$R$10</f>
        <v>0.93023255813953487</v>
      </c>
    </row>
    <row r="5" spans="1:20" ht="50" customHeight="1">
      <c r="A5" s="6" t="s">
        <v>42</v>
      </c>
      <c r="B5" s="6" t="str">
        <f>_xlfn.XLOOKUP(A5,TrainingTable[Training Component],TrainingTable[Category of Training Stimulus],"")</f>
        <v>Turnover and Pace Work</v>
      </c>
      <c r="C5" s="6" t="s">
        <v>55</v>
      </c>
      <c r="D5" s="6" t="s">
        <v>64</v>
      </c>
      <c r="E5" s="85" t="s">
        <v>196</v>
      </c>
      <c r="F5" s="85"/>
      <c r="G5" s="23">
        <v>2</v>
      </c>
      <c r="H5" s="23">
        <v>2</v>
      </c>
      <c r="I5" s="23">
        <v>0.4</v>
      </c>
      <c r="J5" s="23">
        <v>0.6</v>
      </c>
      <c r="K5" s="2"/>
      <c r="L5" s="29" t="s">
        <v>34</v>
      </c>
      <c r="M5" s="30">
        <f>SUMIF($B$4:$B$26,"Turnover and Pace Work",G4:G26)</f>
        <v>2</v>
      </c>
      <c r="N5" s="30">
        <f>SUMIF($B$4:$B$26,"Turnover and Pace Work",H4:H26)</f>
        <v>2</v>
      </c>
      <c r="O5" s="40">
        <f t="shared" si="0"/>
        <v>6.25E-2</v>
      </c>
      <c r="P5" s="40">
        <f t="shared" si="1"/>
        <v>3.2258064516129031E-2</v>
      </c>
      <c r="Q5" s="30">
        <f>SUMIF($B$4:$B$26,"Turnover and Pace Work",I4:I26)</f>
        <v>0.4</v>
      </c>
      <c r="R5" s="30">
        <f>SUMIF($B$4:$B$26,"Turnover and Pace Work",J4:J26)</f>
        <v>0.6</v>
      </c>
      <c r="S5" s="40">
        <f t="shared" ref="S5:S10" si="2">Q5/$Q$10</f>
        <v>0.11764705882352942</v>
      </c>
      <c r="T5" s="40">
        <f t="shared" ref="T5:T10" si="3">R5/$R$10</f>
        <v>6.9767441860465115E-2</v>
      </c>
    </row>
    <row r="6" spans="1:20" ht="50" customHeight="1">
      <c r="A6" s="6" t="s">
        <v>21</v>
      </c>
      <c r="B6" s="6" t="str">
        <f>_xlfn.XLOOKUP(A6,TrainingTable[Training Component],TrainingTable[Category of Training Stimulus],"")</f>
        <v>Stretching and Mobility</v>
      </c>
      <c r="C6" s="6" t="s">
        <v>55</v>
      </c>
      <c r="D6" s="6" t="s">
        <v>64</v>
      </c>
      <c r="E6" s="85" t="s">
        <v>189</v>
      </c>
      <c r="F6" s="85"/>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72</v>
      </c>
      <c r="M10" s="23">
        <f>SUM(M4:M9)</f>
        <v>32</v>
      </c>
      <c r="N10" s="23">
        <f>SUM(N4:N9)</f>
        <v>62</v>
      </c>
      <c r="O10" s="47">
        <f>M10/M10</f>
        <v>1</v>
      </c>
      <c r="P10" s="45">
        <f t="shared" si="1"/>
        <v>1</v>
      </c>
      <c r="Q10" s="23">
        <f>SUM(Q4:Q9)</f>
        <v>3.4</v>
      </c>
      <c r="R10" s="23">
        <f>SUM(R4:R9)</f>
        <v>8.6</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919" priority="184">
      <formula>$B$4="Speed Development"</formula>
    </cfRule>
    <cfRule type="expression" dxfId="918" priority="183">
      <formula>$B$4="Lactate Tolerance"</formula>
    </cfRule>
    <cfRule type="expression" dxfId="917" priority="182">
      <formula>$B$4="VO2 Max"</formula>
    </cfRule>
    <cfRule type="expression" dxfId="916" priority="181">
      <formula>$B$4="Threshold"</formula>
    </cfRule>
    <cfRule type="expression" dxfId="915" priority="180">
      <formula>$B$4="Turnover and Pace Work"</formula>
    </cfRule>
    <cfRule type="expression" dxfId="914" priority="179">
      <formula>$B$4="Aerobic Running"</formula>
    </cfRule>
    <cfRule type="expression" dxfId="913" priority="178">
      <formula>$B$4="Stretching and Mobility"</formula>
    </cfRule>
    <cfRule type="expression" dxfId="912" priority="177">
      <formula>$B$4="Recovery"</formula>
    </cfRule>
  </conditionalFormatting>
  <conditionalFormatting sqref="A5:F5">
    <cfRule type="expression" dxfId="911" priority="176">
      <formula>$B$5="Speed Development"</formula>
    </cfRule>
    <cfRule type="expression" dxfId="910" priority="175">
      <formula>$B$5="Lactate Tolerance"</formula>
    </cfRule>
    <cfRule type="expression" dxfId="909" priority="174">
      <formula>$B$5="VO2 Max"</formula>
    </cfRule>
    <cfRule type="expression" dxfId="908" priority="173">
      <formula>$B$5="Threshold"</formula>
    </cfRule>
    <cfRule type="expression" dxfId="907" priority="172">
      <formula>$B$5="Turnover and Pace Work"</formula>
    </cfRule>
    <cfRule type="expression" dxfId="906" priority="171">
      <formula>$B$5="Aerobic Running"</formula>
    </cfRule>
    <cfRule type="expression" dxfId="905" priority="170">
      <formula>$B$5="Stretching and Mobility"</formula>
    </cfRule>
    <cfRule type="expression" dxfId="904" priority="169">
      <formula>$B$5="Recovery"</formula>
    </cfRule>
  </conditionalFormatting>
  <conditionalFormatting sqref="A6:F6">
    <cfRule type="expression" dxfId="903" priority="164">
      <formula>$B$6="Turnover and Pace Work"</formula>
    </cfRule>
    <cfRule type="expression" dxfId="902" priority="167">
      <formula>$B$6="Lactate Tolerance"</formula>
    </cfRule>
    <cfRule type="expression" dxfId="901" priority="166">
      <formula>$B$6="VO2 Max"</formula>
    </cfRule>
    <cfRule type="expression" dxfId="900" priority="165">
      <formula>$B$6="Threshold"</formula>
    </cfRule>
    <cfRule type="expression" dxfId="899" priority="168">
      <formula>$B$6="Speed Development"</formula>
    </cfRule>
    <cfRule type="expression" dxfId="898" priority="163">
      <formula>$B$6="Aerobic Running"</formula>
    </cfRule>
    <cfRule type="expression" dxfId="897" priority="162">
      <formula>$B$6="Stretching and Mobility"</formula>
    </cfRule>
    <cfRule type="expression" dxfId="896" priority="161">
      <formula>$B$6="Recovery"</formula>
    </cfRule>
  </conditionalFormatting>
  <conditionalFormatting sqref="A7:F7">
    <cfRule type="expression" dxfId="895" priority="160">
      <formula>$B$7="Speed Development"</formula>
    </cfRule>
    <cfRule type="expression" dxfId="894" priority="159">
      <formula>$B$7="Lactate Tolerance"</formula>
    </cfRule>
    <cfRule type="expression" dxfId="893" priority="158">
      <formula>$B$7="VO2 Max"</formula>
    </cfRule>
    <cfRule type="expression" dxfId="892" priority="157">
      <formula>$B$7="Threshold"</formula>
    </cfRule>
    <cfRule type="expression" dxfId="891" priority="156">
      <formula>$B$7="Turnover and Pace Work"</formula>
    </cfRule>
    <cfRule type="expression" dxfId="890" priority="155">
      <formula>$B$7="Aerobic Running"</formula>
    </cfRule>
    <cfRule type="expression" dxfId="889" priority="154">
      <formula>$B$7="Stretching and Mobility"</formula>
    </cfRule>
    <cfRule type="expression" dxfId="888" priority="153">
      <formula>$B$7="Recovery"</formula>
    </cfRule>
  </conditionalFormatting>
  <conditionalFormatting sqref="A8:F8">
    <cfRule type="expression" dxfId="887" priority="152">
      <formula>$B$8="Speed Development"</formula>
    </cfRule>
    <cfRule type="expression" dxfId="886" priority="151">
      <formula>$B$8="Lactate Tolerance"</formula>
    </cfRule>
    <cfRule type="expression" dxfId="885" priority="150">
      <formula>$B$8="VO2 Max"</formula>
    </cfRule>
    <cfRule type="expression" dxfId="884" priority="149">
      <formula>$B$8="Threshold"</formula>
    </cfRule>
    <cfRule type="expression" dxfId="883" priority="148">
      <formula>$B$8="Turnover and Pace Work"</formula>
    </cfRule>
    <cfRule type="expression" dxfId="882" priority="147">
      <formula>$B$8="Aerobic Running"</formula>
    </cfRule>
    <cfRule type="expression" dxfId="881" priority="146">
      <formula>$B$8="Stretching and Mobility"</formula>
    </cfRule>
    <cfRule type="expression" dxfId="880" priority="145">
      <formula>$B$8="Recovery"</formula>
    </cfRule>
  </conditionalFormatting>
  <conditionalFormatting sqref="A9:F9">
    <cfRule type="expression" dxfId="879" priority="140">
      <formula>$B$9="Turnover and Pace Work"</formula>
    </cfRule>
    <cfRule type="expression" dxfId="878" priority="143">
      <formula>$B$9="Lactate Tolerance"</formula>
    </cfRule>
    <cfRule type="expression" dxfId="877" priority="142">
      <formula>$B$9="VO2 Max"</formula>
    </cfRule>
    <cfRule type="expression" dxfId="876" priority="141">
      <formula>$B$9="Threshold"</formula>
    </cfRule>
    <cfRule type="expression" dxfId="875" priority="144">
      <formula>$B$9="Speed Development"</formula>
    </cfRule>
    <cfRule type="expression" dxfId="874" priority="139">
      <formula>$B$9="Aerobic Running"</formula>
    </cfRule>
    <cfRule type="expression" dxfId="873" priority="138">
      <formula>$B$9="Stretching and Mobility"</formula>
    </cfRule>
    <cfRule type="expression" dxfId="872" priority="137">
      <formula>$B$9="Recovery"</formula>
    </cfRule>
  </conditionalFormatting>
  <conditionalFormatting sqref="A10:F10">
    <cfRule type="expression" dxfId="871" priority="136">
      <formula>$B$10="Speed Development"</formula>
    </cfRule>
    <cfRule type="expression" dxfId="870" priority="135">
      <formula>$B$10="Lactate Tolerance"</formula>
    </cfRule>
    <cfRule type="expression" dxfId="869" priority="134">
      <formula>$B$10="VO2 Max"</formula>
    </cfRule>
    <cfRule type="expression" dxfId="868" priority="133">
      <formula>$B$10="Threshold"</formula>
    </cfRule>
    <cfRule type="expression" dxfId="867" priority="132">
      <formula>$B$10="Turnover and Pace Work"</formula>
    </cfRule>
    <cfRule type="expression" dxfId="866" priority="131">
      <formula>$B$10="Aerobic Running"</formula>
    </cfRule>
    <cfRule type="expression" dxfId="865" priority="130">
      <formula>$B$10="Stretching and Mobility"</formula>
    </cfRule>
    <cfRule type="expression" dxfId="864" priority="129">
      <formula>$B$10="Recovery"</formula>
    </cfRule>
  </conditionalFormatting>
  <conditionalFormatting sqref="A11:F11">
    <cfRule type="expression" dxfId="863" priority="128">
      <formula>$B$11="Speed Development"</formula>
    </cfRule>
    <cfRule type="expression" dxfId="862" priority="127">
      <formula>$B$11="Lactate Tolerance"</formula>
    </cfRule>
    <cfRule type="expression" dxfId="861" priority="126">
      <formula>$B$11="VO2 Max"</formula>
    </cfRule>
    <cfRule type="expression" dxfId="860" priority="125">
      <formula>$B$11="Threshold"</formula>
    </cfRule>
    <cfRule type="expression" dxfId="859" priority="124">
      <formula>$B$11="Turnover and Pace Work"</formula>
    </cfRule>
    <cfRule type="expression" dxfId="858" priority="123">
      <formula>$B$11="Aerobic Running"</formula>
    </cfRule>
    <cfRule type="expression" dxfId="857" priority="122">
      <formula>$B$11="Stretching and Mobility"</formula>
    </cfRule>
    <cfRule type="expression" dxfId="856" priority="121">
      <formula>$B$11="Recovery"</formula>
    </cfRule>
  </conditionalFormatting>
  <conditionalFormatting sqref="A12:F12">
    <cfRule type="expression" dxfId="855" priority="120">
      <formula>$B$12="Speed Development"</formula>
    </cfRule>
    <cfRule type="expression" dxfId="854" priority="119">
      <formula>$B$12="Lactate Tolerance"</formula>
    </cfRule>
    <cfRule type="expression" dxfId="853" priority="118">
      <formula>$B$12="VO2 Max"</formula>
    </cfRule>
    <cfRule type="expression" dxfId="852" priority="117">
      <formula>$B$12="Threshold"</formula>
    </cfRule>
    <cfRule type="expression" dxfId="851" priority="116">
      <formula>$B$12="Turnover and Pace Work"</formula>
    </cfRule>
    <cfRule type="expression" dxfId="850" priority="115">
      <formula>$B$12="Aerobic Running"</formula>
    </cfRule>
    <cfRule type="expression" dxfId="849" priority="114">
      <formula>$B$12="Stretching and Mobility"</formula>
    </cfRule>
    <cfRule type="expression" dxfId="848" priority="113">
      <formula>$B$12="Recovery"</formula>
    </cfRule>
  </conditionalFormatting>
  <conditionalFormatting sqref="A13:F13">
    <cfRule type="expression" dxfId="847" priority="112">
      <formula>$B$13="Speed Development"</formula>
    </cfRule>
    <cfRule type="expression" dxfId="846" priority="111">
      <formula>$B$13="Lactate Tolerance"</formula>
    </cfRule>
    <cfRule type="expression" dxfId="845" priority="110">
      <formula>$B$13="VO2 Max"</formula>
    </cfRule>
    <cfRule type="expression" dxfId="844" priority="109">
      <formula>$B$13="Threshold"</formula>
    </cfRule>
    <cfRule type="expression" dxfId="843" priority="108">
      <formula>$B$13="Turnover and Pace Work"</formula>
    </cfRule>
    <cfRule type="expression" dxfId="842" priority="107">
      <formula>$B$13="Aerobic Running"</formula>
    </cfRule>
    <cfRule type="expression" dxfId="841" priority="106">
      <formula>$B$13="Stretching and Mobility"</formula>
    </cfRule>
    <cfRule type="expression" dxfId="840" priority="105">
      <formula>$B$13="Recovery"</formula>
    </cfRule>
  </conditionalFormatting>
  <conditionalFormatting sqref="A14:F14">
    <cfRule type="expression" dxfId="839" priority="104">
      <formula>$B$14="Speed Development"</formula>
    </cfRule>
    <cfRule type="expression" dxfId="838" priority="103">
      <formula>$B$14="Lactate Tolerance"</formula>
    </cfRule>
    <cfRule type="expression" dxfId="837" priority="102">
      <formula>$B$14="VO2 Max"</formula>
    </cfRule>
    <cfRule type="expression" dxfId="836" priority="101">
      <formula>$B$14="Threshold"</formula>
    </cfRule>
    <cfRule type="expression" dxfId="835" priority="100">
      <formula>$B$14="Turnover and Pace Work"</formula>
    </cfRule>
    <cfRule type="expression" dxfId="834" priority="99">
      <formula>$B$14="Aerobic Running"</formula>
    </cfRule>
    <cfRule type="expression" dxfId="833" priority="98">
      <formula>$B$14="Stretching and Mobility"</formula>
    </cfRule>
    <cfRule type="expression" dxfId="832" priority="97">
      <formula>$B$14="Recovery"</formula>
    </cfRule>
  </conditionalFormatting>
  <conditionalFormatting sqref="A15:F15">
    <cfRule type="expression" dxfId="831" priority="93">
      <formula>$B$15="Threshold"</formula>
    </cfRule>
    <cfRule type="expression" dxfId="830" priority="90">
      <formula>$B$15="Stretching and Mobility"</formula>
    </cfRule>
    <cfRule type="expression" dxfId="829" priority="91">
      <formula>$B$15="Aerobic Running"</formula>
    </cfRule>
    <cfRule type="expression" dxfId="828" priority="92">
      <formula>$B$15="Turnover and Pace Work"</formula>
    </cfRule>
    <cfRule type="expression" dxfId="827" priority="89">
      <formula>$B$15="Recovery"</formula>
    </cfRule>
    <cfRule type="expression" dxfId="826" priority="94">
      <formula>$B$15="VO2 Max"</formula>
    </cfRule>
    <cfRule type="expression" dxfId="825" priority="95">
      <formula>$B$15="Lactate Tolerance"</formula>
    </cfRule>
    <cfRule type="expression" dxfId="824" priority="96">
      <formula>$B$15="Speed Development"</formula>
    </cfRule>
  </conditionalFormatting>
  <conditionalFormatting sqref="A16:F16">
    <cfRule type="expression" dxfId="823" priority="88">
      <formula>$B$16="Speed Development"</formula>
    </cfRule>
    <cfRule type="expression" dxfId="822" priority="87">
      <formula>$B$16="Lactate Tolerance"</formula>
    </cfRule>
    <cfRule type="expression" dxfId="821" priority="86">
      <formula>$B$16="VO2 Max"</formula>
    </cfRule>
    <cfRule type="expression" dxfId="820" priority="85">
      <formula>$B$16="Threshold"</formula>
    </cfRule>
    <cfRule type="expression" dxfId="819" priority="84">
      <formula>$B$16="Turnover and Pace Work"</formula>
    </cfRule>
    <cfRule type="expression" dxfId="818" priority="83">
      <formula>$B$16="Aerobic Running"</formula>
    </cfRule>
    <cfRule type="expression" dxfId="817" priority="82">
      <formula>$B$16="Stretching and Mobility"</formula>
    </cfRule>
    <cfRule type="expression" dxfId="816" priority="81">
      <formula>$B$16="Recovery"</formula>
    </cfRule>
  </conditionalFormatting>
  <conditionalFormatting sqref="A17:F17">
    <cfRule type="expression" dxfId="815" priority="80">
      <formula>$B$17="Speed Development"</formula>
    </cfRule>
    <cfRule type="expression" dxfId="814" priority="79">
      <formula>$B$17="Lactate Tolerance"</formula>
    </cfRule>
    <cfRule type="expression" dxfId="813" priority="78">
      <formula>$B$17="VO2 Max"</formula>
    </cfRule>
    <cfRule type="expression" dxfId="812" priority="77">
      <formula>$B$17="Threshold"</formula>
    </cfRule>
    <cfRule type="expression" dxfId="811" priority="76">
      <formula>$B$17="Turnover and Pace Work"</formula>
    </cfRule>
    <cfRule type="expression" dxfId="810" priority="75">
      <formula>$B$17="Aerobic Running"</formula>
    </cfRule>
    <cfRule type="expression" dxfId="809" priority="74">
      <formula>$B$17="Stretching and Mobility"</formula>
    </cfRule>
    <cfRule type="expression" dxfId="808" priority="73">
      <formula>$B$17="Recovery"</formula>
    </cfRule>
  </conditionalFormatting>
  <conditionalFormatting sqref="A18:F18">
    <cfRule type="expression" dxfId="807" priority="72">
      <formula>$B$18="Speed Development"</formula>
    </cfRule>
    <cfRule type="expression" dxfId="806" priority="71">
      <formula>$B$18="Lactate Tolerance"</formula>
    </cfRule>
    <cfRule type="expression" dxfId="805" priority="70">
      <formula>$B$18="VO2 Max"</formula>
    </cfRule>
    <cfRule type="expression" dxfId="804" priority="69">
      <formula>$B$18="Threshold"</formula>
    </cfRule>
    <cfRule type="expression" dxfId="803" priority="68">
      <formula>$B$18="Turnover and Pace Work"</formula>
    </cfRule>
    <cfRule type="expression" dxfId="802" priority="67">
      <formula>$B$18="Aerobic Running"</formula>
    </cfRule>
    <cfRule type="expression" dxfId="801" priority="66">
      <formula>$B$18="Stretching and Mobility"</formula>
    </cfRule>
    <cfRule type="expression" dxfId="800" priority="65">
      <formula>$B$18="Recovery"</formula>
    </cfRule>
  </conditionalFormatting>
  <conditionalFormatting sqref="A19:F19">
    <cfRule type="expression" dxfId="799" priority="64">
      <formula>$B$19="Speed Development"</formula>
    </cfRule>
    <cfRule type="expression" dxfId="798" priority="63">
      <formula>$B$19="Lactate Tolerance"</formula>
    </cfRule>
    <cfRule type="expression" dxfId="797" priority="62">
      <formula>$B$19="VO2 Max"</formula>
    </cfRule>
    <cfRule type="expression" dxfId="796" priority="61">
      <formula>$B$19="Threshold"</formula>
    </cfRule>
    <cfRule type="expression" dxfId="795" priority="60">
      <formula>$B$19="Turnover and Pace Work"</formula>
    </cfRule>
    <cfRule type="expression" dxfId="794" priority="59">
      <formula>$B$19="Aerobic Running"</formula>
    </cfRule>
    <cfRule type="expression" dxfId="793" priority="58">
      <formula>$B$19="Stretching and Mobility"</formula>
    </cfRule>
    <cfRule type="expression" dxfId="792" priority="57">
      <formula>$B$19="Recovery"</formula>
    </cfRule>
  </conditionalFormatting>
  <conditionalFormatting sqref="A20:F20">
    <cfRule type="expression" dxfId="791" priority="56">
      <formula>$B$20="Speed Development"</formula>
    </cfRule>
    <cfRule type="expression" dxfId="790" priority="55">
      <formula>$B$20="Lactate Tolerance"</formula>
    </cfRule>
    <cfRule type="expression" dxfId="789" priority="54">
      <formula>$B$20="VO2 Max"</formula>
    </cfRule>
    <cfRule type="expression" dxfId="788" priority="53">
      <formula>$B$20="Threshold"</formula>
    </cfRule>
    <cfRule type="expression" dxfId="787" priority="52">
      <formula>$B$20="Turnover and Pace Work"</formula>
    </cfRule>
    <cfRule type="expression" dxfId="786" priority="51">
      <formula>$B$20="Aerobic Running"</formula>
    </cfRule>
    <cfRule type="expression" dxfId="785" priority="50">
      <formula>$B$20="Stretching and Mobility"</formula>
    </cfRule>
    <cfRule type="expression" dxfId="784" priority="49">
      <formula>$B$20="Recovery"</formula>
    </cfRule>
  </conditionalFormatting>
  <conditionalFormatting sqref="A21:F21">
    <cfRule type="expression" dxfId="783" priority="48">
      <formula>$B$21="Speed Development"</formula>
    </cfRule>
    <cfRule type="expression" dxfId="782" priority="47">
      <formula>$B$21="Lactate Tolerance"</formula>
    </cfRule>
    <cfRule type="expression" dxfId="781" priority="46">
      <formula>$B$21="VO2 Max"</formula>
    </cfRule>
    <cfRule type="expression" dxfId="780" priority="45">
      <formula>$B$21="Threshold"</formula>
    </cfRule>
    <cfRule type="expression" dxfId="779" priority="44">
      <formula>$B$21="Turnover and Pace Work"</formula>
    </cfRule>
    <cfRule type="expression" dxfId="778" priority="43">
      <formula>$B$21="Aerobic Running"</formula>
    </cfRule>
    <cfRule type="expression" dxfId="777" priority="42">
      <formula>$B$21="Stretching and Mobility"</formula>
    </cfRule>
    <cfRule type="expression" dxfId="776" priority="41">
      <formula>$B$21="Recovery"</formula>
    </cfRule>
  </conditionalFormatting>
  <conditionalFormatting sqref="A22:F22">
    <cfRule type="expression" dxfId="775" priority="40">
      <formula>$B$22="Speed Development"</formula>
    </cfRule>
    <cfRule type="expression" dxfId="774" priority="39">
      <formula>$B$22="Lactate Tolerance"</formula>
    </cfRule>
    <cfRule type="expression" dxfId="773" priority="38">
      <formula>$B$22="VO2 Max"</formula>
    </cfRule>
    <cfRule type="expression" dxfId="772" priority="37">
      <formula>$B$22="Threshold"</formula>
    </cfRule>
    <cfRule type="expression" dxfId="771" priority="36">
      <formula>$B$22="Turnover and Pace Work"</formula>
    </cfRule>
    <cfRule type="expression" dxfId="770" priority="35">
      <formula>$B$22="Aerobic Running"</formula>
    </cfRule>
    <cfRule type="expression" dxfId="769" priority="34">
      <formula>$B$22="Stretching and Mobility"</formula>
    </cfRule>
    <cfRule type="expression" dxfId="768" priority="33">
      <formula>$B$22="Recovery"</formula>
    </cfRule>
  </conditionalFormatting>
  <conditionalFormatting sqref="A23:F23">
    <cfRule type="expression" dxfId="767" priority="32">
      <formula>$B$23="Speed Development"</formula>
    </cfRule>
    <cfRule type="expression" dxfId="766" priority="31">
      <formula>$B$23="Lactate Tolerance"</formula>
    </cfRule>
    <cfRule type="expression" dxfId="765" priority="30">
      <formula>$B$23="VO2 Max"</formula>
    </cfRule>
    <cfRule type="expression" dxfId="764" priority="29">
      <formula>$B$23="Threshold"</formula>
    </cfRule>
    <cfRule type="expression" dxfId="763" priority="28">
      <formula>$B$23="Turnover and Pace Work"</formula>
    </cfRule>
    <cfRule type="expression" dxfId="762" priority="27">
      <formula>$B$23="Aerobic Running"</formula>
    </cfRule>
    <cfRule type="expression" dxfId="761" priority="26">
      <formula>$B$23="Stretching and Mobility"</formula>
    </cfRule>
    <cfRule type="expression" dxfId="760" priority="25">
      <formula>$B$23="Recovery"</formula>
    </cfRule>
  </conditionalFormatting>
  <conditionalFormatting sqref="A24:F24">
    <cfRule type="expression" dxfId="759" priority="24">
      <formula>$B$24="Speed Development"</formula>
    </cfRule>
    <cfRule type="expression" dxfId="758" priority="23">
      <formula>$B$24="Lactate Tolerance"</formula>
    </cfRule>
    <cfRule type="expression" dxfId="757" priority="22">
      <formula>$B$24="VO2 Max"</formula>
    </cfRule>
    <cfRule type="expression" dxfId="756" priority="21">
      <formula>$B$24="Threshold"</formula>
    </cfRule>
    <cfRule type="expression" dxfId="755" priority="20">
      <formula>$B$24="Turnover and Pace Work"</formula>
    </cfRule>
    <cfRule type="expression" dxfId="754" priority="19">
      <formula>$B$24="Aerobic Running"</formula>
    </cfRule>
    <cfRule type="expression" dxfId="753" priority="18">
      <formula>$B$24="Stretching and Mobility"</formula>
    </cfRule>
    <cfRule type="expression" dxfId="752" priority="17">
      <formula>$B$24="Recovery"</formula>
    </cfRule>
  </conditionalFormatting>
  <conditionalFormatting sqref="A25:F25">
    <cfRule type="expression" dxfId="751" priority="16">
      <formula>$B$25="Speed Development"</formula>
    </cfRule>
    <cfRule type="expression" dxfId="750" priority="15">
      <formula>$B$25="Lactate Tolerance"</formula>
    </cfRule>
    <cfRule type="expression" dxfId="749" priority="14">
      <formula>$B$25="VO2 Max"</formula>
    </cfRule>
    <cfRule type="expression" dxfId="748" priority="13">
      <formula>$B$25="Threshold"</formula>
    </cfRule>
    <cfRule type="expression" dxfId="747" priority="12">
      <formula>$B$25="Turnover and Pace Work"</formula>
    </cfRule>
    <cfRule type="expression" dxfId="746" priority="11">
      <formula>$B$25="Aerobic Running"</formula>
    </cfRule>
    <cfRule type="expression" dxfId="745" priority="10">
      <formula>$B$25="Stretching and Mobility"</formula>
    </cfRule>
    <cfRule type="expression" dxfId="744" priority="9">
      <formula>$B$25="Recovery"</formula>
    </cfRule>
  </conditionalFormatting>
  <conditionalFormatting sqref="A26:F26">
    <cfRule type="expression" dxfId="743" priority="8">
      <formula>$B$26="Speed Development"</formula>
    </cfRule>
    <cfRule type="expression" dxfId="742" priority="7">
      <formula>$B$26="Lactate Tolerance"</formula>
    </cfRule>
    <cfRule type="expression" dxfId="741" priority="6">
      <formula>$B$26="VO2 Max"</formula>
    </cfRule>
    <cfRule type="expression" dxfId="740" priority="5">
      <formula>$B$26="Threshold"</formula>
    </cfRule>
    <cfRule type="expression" dxfId="739" priority="4">
      <formula>$B$26="Turnover and Pace Work"</formula>
    </cfRule>
    <cfRule type="expression" dxfId="738" priority="3">
      <formula>$B$26="Aerobic Running"</formula>
    </cfRule>
    <cfRule type="expression" dxfId="737" priority="2">
      <formula>$B$26="Stretching and Mobility"</formula>
    </cfRule>
    <cfRule type="expression" dxfId="736"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 type="list" allowBlank="1" showInputMessage="1" showErrorMessage="1" xr:uid="{29C30560-7250-5A48-8F56-DBDD72F79E69}">
          <x14:formula1>
            <xm:f>Data!$F$2:$F$50</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zoomScale="140" zoomScaleNormal="140" workbookViewId="0">
      <selection activeCell="E5" sqref="E5:F5"/>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74</v>
      </c>
      <c r="B1" s="21">
        <v>45721</v>
      </c>
      <c r="C1" s="20" t="s">
        <v>93</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188</v>
      </c>
      <c r="F4" s="85"/>
      <c r="G4" s="23">
        <v>30</v>
      </c>
      <c r="H4" s="23">
        <v>60</v>
      </c>
      <c r="I4" s="23">
        <v>3</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0.88235294117647056</v>
      </c>
      <c r="T4" s="39">
        <f>R4/$R$10</f>
        <v>0.95238095238095233</v>
      </c>
    </row>
    <row r="5" spans="1:20" ht="50" customHeight="1">
      <c r="A5" s="6" t="s">
        <v>190</v>
      </c>
      <c r="B5" s="6" t="str">
        <f>_xlfn.XLOOKUP(A5,TrainingTable[Training Component],TrainingTable[Category of Training Stimulus],"")</f>
        <v>Turnover and Pace Work</v>
      </c>
      <c r="C5" s="6" t="s">
        <v>55</v>
      </c>
      <c r="D5" s="6" t="s">
        <v>57</v>
      </c>
      <c r="E5" s="85" t="s">
        <v>191</v>
      </c>
      <c r="F5" s="85"/>
      <c r="G5" s="23">
        <v>2</v>
      </c>
      <c r="H5" s="23">
        <v>2</v>
      </c>
      <c r="I5" s="23">
        <v>0.4</v>
      </c>
      <c r="J5" s="23">
        <v>0.4</v>
      </c>
      <c r="K5" s="2"/>
      <c r="L5" s="29" t="s">
        <v>34</v>
      </c>
      <c r="M5" s="30">
        <f>SUMIF($B$4:$B$26,"Turnover and Pace Work",G4:G26)</f>
        <v>2</v>
      </c>
      <c r="N5" s="30">
        <f>SUMIF($B$4:$B$26,"Turnover and Pace Work",H4:H26)</f>
        <v>2</v>
      </c>
      <c r="O5" s="40">
        <f t="shared" si="0"/>
        <v>6.25E-2</v>
      </c>
      <c r="P5" s="40">
        <f t="shared" si="1"/>
        <v>3.2258064516129031E-2</v>
      </c>
      <c r="Q5" s="30">
        <f>SUMIF($B$4:$B$26,"Turnover and Pace Work",I4:I26)</f>
        <v>0.4</v>
      </c>
      <c r="R5" s="30">
        <f>SUMIF($B$4:$B$26,"Turnover and Pace Work",J4:J26)</f>
        <v>0.4</v>
      </c>
      <c r="S5" s="40">
        <f t="shared" ref="S5:S10" si="2">Q5/$Q$10</f>
        <v>0.11764705882352942</v>
      </c>
      <c r="T5" s="40">
        <f t="shared" ref="T5:T10" si="3">R5/$R$10</f>
        <v>4.7619047619047616E-2</v>
      </c>
    </row>
    <row r="6" spans="1:20" ht="50" customHeight="1">
      <c r="A6" s="6"/>
      <c r="B6" s="6" t="str">
        <f>_xlfn.XLOOKUP(A6,TrainingTable[Training Component],TrainingTable[Category of Training Stimulus],"")</f>
        <v/>
      </c>
      <c r="C6" s="6"/>
      <c r="D6" s="6"/>
      <c r="E6" s="85"/>
      <c r="F6" s="85"/>
      <c r="G6" s="23"/>
      <c r="H6" s="23"/>
      <c r="I6" s="23"/>
      <c r="J6" s="23"/>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5"/>
      <c r="F7" s="85"/>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5"/>
      <c r="F8" s="85"/>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5"/>
      <c r="F9" s="85"/>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5"/>
      <c r="F10" s="85"/>
      <c r="G10" s="23"/>
      <c r="H10" s="23"/>
      <c r="I10" s="23"/>
      <c r="J10" s="23"/>
      <c r="K10" s="2"/>
      <c r="L10" s="46" t="s">
        <v>72</v>
      </c>
      <c r="M10" s="23">
        <f>SUM(M4:M9)</f>
        <v>32</v>
      </c>
      <c r="N10" s="23">
        <f>SUM(N4:N9)</f>
        <v>62</v>
      </c>
      <c r="O10" s="47">
        <f>M10/M10</f>
        <v>1</v>
      </c>
      <c r="P10" s="45">
        <f t="shared" si="1"/>
        <v>1</v>
      </c>
      <c r="Q10" s="23">
        <f>SUM(Q4:Q9)</f>
        <v>3.4</v>
      </c>
      <c r="R10" s="23">
        <f>SUM(R4:R9)</f>
        <v>8.4</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zoomScale="140" zoomScaleNormal="140" workbookViewId="0">
      <selection activeCell="B4" sqref="B4"/>
    </sheetView>
  </sheetViews>
  <sheetFormatPr baseColWidth="10" defaultRowHeight="16"/>
  <cols>
    <col min="1" max="1" width="27.8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75</v>
      </c>
      <c r="B1" s="21">
        <v>45722</v>
      </c>
      <c r="C1" s="20" t="s">
        <v>95</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5" t="s">
        <v>199</v>
      </c>
      <c r="F4" s="85"/>
      <c r="G4" s="23">
        <v>30</v>
      </c>
      <c r="H4" s="23">
        <v>45</v>
      </c>
      <c r="I4" s="23">
        <v>3.5</v>
      </c>
      <c r="J4" s="23">
        <v>6</v>
      </c>
      <c r="K4" s="2"/>
      <c r="L4" s="27" t="s">
        <v>69</v>
      </c>
      <c r="M4" s="28">
        <f>SUMIF($B$4:$B$26,"Aerobic Running",G4:G26)</f>
        <v>35</v>
      </c>
      <c r="N4" s="28">
        <f>SUMIF($B$4:$B$26,"Aerobic Running",H4:H26)</f>
        <v>50</v>
      </c>
      <c r="O4" s="39">
        <f t="shared" ref="O4:O9" si="0">M4/$M$10</f>
        <v>0.94594594594594594</v>
      </c>
      <c r="P4" s="39">
        <f t="shared" ref="P4:P10" si="1">N4/$N$10</f>
        <v>0.94339622641509435</v>
      </c>
      <c r="Q4" s="28">
        <f>SUMIF($B$4:$B$26,"Aerobic Running",I4:I26)</f>
        <v>4.0999999999999996</v>
      </c>
      <c r="R4" s="28">
        <f>SUMIF($B$4:$B$26,"Aerobic Running",J4:J26)</f>
        <v>6.75</v>
      </c>
      <c r="S4" s="39">
        <f>Q4/$Q$10</f>
        <v>0.89130434782608692</v>
      </c>
      <c r="T4" s="39">
        <f>R4/$R$10</f>
        <v>0.93103448275862066</v>
      </c>
    </row>
    <row r="5" spans="1:20" ht="50" customHeight="1">
      <c r="A5" s="6" t="s">
        <v>49</v>
      </c>
      <c r="B5" s="6" t="str">
        <f>_xlfn.XLOOKUP(A5,TrainingTable[Training Component],TrainingTable[Category of Training Stimulus],"")</f>
        <v>Recovery</v>
      </c>
      <c r="C5" s="6" t="s">
        <v>57</v>
      </c>
      <c r="D5" s="6" t="s">
        <v>57</v>
      </c>
      <c r="E5" s="85" t="s">
        <v>200</v>
      </c>
      <c r="F5" s="85"/>
      <c r="G5" s="23">
        <v>5</v>
      </c>
      <c r="H5" s="23">
        <v>5</v>
      </c>
      <c r="I5" s="23">
        <v>0</v>
      </c>
      <c r="J5" s="23">
        <v>0</v>
      </c>
      <c r="K5" s="2"/>
      <c r="L5" s="29" t="s">
        <v>34</v>
      </c>
      <c r="M5" s="30">
        <f>SUMIF($B$4:$B$26,"Turnover and Pace Work",G4:G26)</f>
        <v>2</v>
      </c>
      <c r="N5" s="30">
        <f>SUMIF($B$4:$B$26,"Turnover and Pace Work",H4:H26)</f>
        <v>3</v>
      </c>
      <c r="O5" s="40">
        <f t="shared" si="0"/>
        <v>5.4054054054054057E-2</v>
      </c>
      <c r="P5" s="40">
        <f t="shared" si="1"/>
        <v>5.6603773584905662E-2</v>
      </c>
      <c r="Q5" s="30">
        <f>SUMIF($B$4:$B$26,"Turnover and Pace Work",I4:I26)</f>
        <v>0.5</v>
      </c>
      <c r="R5" s="30">
        <f>SUMIF($B$4:$B$26,"Turnover and Pace Work",J4:J26)</f>
        <v>0.5</v>
      </c>
      <c r="S5" s="40">
        <f t="shared" ref="S5:S10" si="2">Q5/$Q$10</f>
        <v>0.10869565217391305</v>
      </c>
      <c r="T5" s="40">
        <f t="shared" ref="T5:T10" si="3">R5/$R$10</f>
        <v>6.8965517241379309E-2</v>
      </c>
    </row>
    <row r="6" spans="1:20" ht="50" customHeight="1">
      <c r="A6" s="6" t="s">
        <v>197</v>
      </c>
      <c r="B6" s="6" t="str">
        <f>_xlfn.XLOOKUP(A6,TrainingTable[Training Component],TrainingTable[Category of Training Stimulus],"")</f>
        <v>Turnover and Pace Work</v>
      </c>
      <c r="C6" s="6" t="s">
        <v>56</v>
      </c>
      <c r="D6" s="6" t="s">
        <v>64</v>
      </c>
      <c r="E6" s="85" t="s">
        <v>201</v>
      </c>
      <c r="F6" s="85"/>
      <c r="G6" s="23">
        <v>1</v>
      </c>
      <c r="H6" s="23">
        <v>1.5</v>
      </c>
      <c r="I6" s="23">
        <v>0.25</v>
      </c>
      <c r="J6" s="23">
        <v>0.25</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49</v>
      </c>
      <c r="B7" s="6" t="str">
        <f>_xlfn.XLOOKUP(A7,TrainingTable[Training Component],TrainingTable[Category of Training Stimulus],"")</f>
        <v>Recovery</v>
      </c>
      <c r="C7" s="6" t="s">
        <v>57</v>
      </c>
      <c r="D7" s="6" t="s">
        <v>57</v>
      </c>
      <c r="E7" s="85" t="s">
        <v>202</v>
      </c>
      <c r="F7" s="85"/>
      <c r="G7" s="23">
        <v>5</v>
      </c>
      <c r="H7" s="23">
        <v>5</v>
      </c>
      <c r="I7" s="23">
        <v>0</v>
      </c>
      <c r="J7" s="23">
        <v>0</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198</v>
      </c>
      <c r="B8" s="6" t="str">
        <f>_xlfn.XLOOKUP(A8,TrainingTable[Training Component],TrainingTable[Category of Training Stimulus],"")</f>
        <v>Turnover and Pace Work</v>
      </c>
      <c r="C8" s="6" t="s">
        <v>56</v>
      </c>
      <c r="D8" s="6" t="s">
        <v>64</v>
      </c>
      <c r="E8" s="85" t="s">
        <v>203</v>
      </c>
      <c r="F8" s="85"/>
      <c r="G8" s="23">
        <v>1</v>
      </c>
      <c r="H8" s="23">
        <v>1.5</v>
      </c>
      <c r="I8" s="23">
        <v>0.25</v>
      </c>
      <c r="J8" s="23">
        <v>0.25</v>
      </c>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t="s">
        <v>49</v>
      </c>
      <c r="B9" s="6" t="str">
        <f>_xlfn.XLOOKUP(A9,TrainingTable[Training Component],TrainingTable[Category of Training Stimulus],"")</f>
        <v>Recovery</v>
      </c>
      <c r="C9" s="6" t="s">
        <v>57</v>
      </c>
      <c r="D9" s="6" t="s">
        <v>57</v>
      </c>
      <c r="E9" s="85" t="s">
        <v>205</v>
      </c>
      <c r="F9" s="85"/>
      <c r="G9" s="23">
        <v>5</v>
      </c>
      <c r="H9" s="23">
        <v>5</v>
      </c>
      <c r="I9" s="23">
        <v>0</v>
      </c>
      <c r="J9" s="23">
        <v>0</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t="s">
        <v>14</v>
      </c>
      <c r="B10" s="6" t="str">
        <f>_xlfn.XLOOKUP(A10,TrainingTable[Training Component],TrainingTable[Category of Training Stimulus],"")</f>
        <v>Aerobic Running</v>
      </c>
      <c r="C10" s="6" t="s">
        <v>55</v>
      </c>
      <c r="D10" s="6" t="s">
        <v>67</v>
      </c>
      <c r="E10" s="93" t="s">
        <v>204</v>
      </c>
      <c r="F10" s="94"/>
      <c r="G10" s="23">
        <v>5</v>
      </c>
      <c r="H10" s="23">
        <v>5</v>
      </c>
      <c r="I10" s="23">
        <v>0.6</v>
      </c>
      <c r="J10" s="23">
        <v>0.75</v>
      </c>
      <c r="K10" s="2"/>
      <c r="L10" s="46" t="s">
        <v>72</v>
      </c>
      <c r="M10" s="23">
        <f>SUM(M4:M9)</f>
        <v>37</v>
      </c>
      <c r="N10" s="23">
        <f>SUM(N4:N9)</f>
        <v>53</v>
      </c>
      <c r="O10" s="47">
        <f>M10/M10</f>
        <v>1</v>
      </c>
      <c r="P10" s="45">
        <f t="shared" si="1"/>
        <v>1</v>
      </c>
      <c r="Q10" s="23">
        <f>SUM(Q4:Q9)</f>
        <v>4.5999999999999996</v>
      </c>
      <c r="R10" s="23">
        <f>SUM(R4:R9)</f>
        <v>7.25</v>
      </c>
      <c r="S10" s="47">
        <f t="shared" si="2"/>
        <v>1</v>
      </c>
      <c r="T10" s="47">
        <f t="shared" si="3"/>
        <v>1</v>
      </c>
    </row>
    <row r="11" spans="1:20" ht="50" customHeight="1">
      <c r="A11" s="6"/>
      <c r="B11" s="6" t="str">
        <f>_xlfn.XLOOKUP(A11,TrainingTable[Training Component],TrainingTable[Category of Training Stimulus],"")</f>
        <v/>
      </c>
      <c r="C11" s="6"/>
      <c r="D11" s="6"/>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zoomScale="140" zoomScaleNormal="140" workbookViewId="0">
      <selection activeCell="A11" sqref="A11"/>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76</v>
      </c>
      <c r="B1" s="21">
        <v>45723</v>
      </c>
      <c r="C1" s="20" t="s">
        <v>97</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5" t="s">
        <v>206</v>
      </c>
      <c r="F4" s="85"/>
      <c r="G4" s="23">
        <v>10</v>
      </c>
      <c r="H4" s="23">
        <v>15</v>
      </c>
      <c r="I4" s="23">
        <v>1.4</v>
      </c>
      <c r="J4" s="23">
        <v>2</v>
      </c>
      <c r="K4" s="2"/>
      <c r="L4" s="27" t="s">
        <v>69</v>
      </c>
      <c r="M4" s="28">
        <f>SUMIF($B$4:$B$26,"Aerobic Running",G4:G26)</f>
        <v>20</v>
      </c>
      <c r="N4" s="28">
        <f>SUMIF($B$4:$B$26,"Aerobic Running",H4:H26)</f>
        <v>30</v>
      </c>
      <c r="O4" s="39">
        <f t="shared" ref="O4:O9" si="0">M4/$M$10</f>
        <v>0.72727272727272729</v>
      </c>
      <c r="P4" s="39">
        <f t="shared" ref="P4:P10" si="1">N4/$N$10</f>
        <v>0.8</v>
      </c>
      <c r="Q4" s="28">
        <f>SUMIF($B$4:$B$26,"Aerobic Running",I4:I26)</f>
        <v>2.8</v>
      </c>
      <c r="R4" s="28">
        <f>SUMIF($B$4:$B$26,"Aerobic Running",J4:J26)</f>
        <v>4</v>
      </c>
      <c r="S4" s="39">
        <f>Q4/$Q$10</f>
        <v>0.63636363636363624</v>
      </c>
      <c r="T4" s="39">
        <f>R4/$R$10</f>
        <v>0.68965517241379315</v>
      </c>
    </row>
    <row r="5" spans="1:20" ht="50" customHeight="1">
      <c r="A5" s="6" t="s">
        <v>19</v>
      </c>
      <c r="B5" s="6" t="str">
        <f>_xlfn.XLOOKUP(A5,TrainingTable[Training Component],TrainingTable[Category of Training Stimulus],"")</f>
        <v>Stretching and Mobility</v>
      </c>
      <c r="C5" s="6" t="s">
        <v>55</v>
      </c>
      <c r="D5" s="6" t="s">
        <v>67</v>
      </c>
      <c r="E5" s="85" t="s">
        <v>207</v>
      </c>
      <c r="F5" s="85"/>
      <c r="G5" s="23">
        <v>5</v>
      </c>
      <c r="H5" s="23">
        <v>5</v>
      </c>
      <c r="I5" s="23">
        <v>0.2</v>
      </c>
      <c r="J5" s="23">
        <v>0.2</v>
      </c>
      <c r="K5" s="2"/>
      <c r="L5" s="29" t="s">
        <v>34</v>
      </c>
      <c r="M5" s="30">
        <f>SUMIF($B$4:$B$26,"Turnover and Pace Work",G4:G26)</f>
        <v>2.5</v>
      </c>
      <c r="N5" s="30">
        <f>SUMIF($B$4:$B$26,"Turnover and Pace Work",H4:H26)</f>
        <v>2.5</v>
      </c>
      <c r="O5" s="40">
        <f t="shared" si="0"/>
        <v>9.0909090909090912E-2</v>
      </c>
      <c r="P5" s="40">
        <f t="shared" si="1"/>
        <v>6.6666666666666666E-2</v>
      </c>
      <c r="Q5" s="30">
        <f>SUMIF($B$4:$B$26,"Turnover and Pace Work",I4:I26)</f>
        <v>0.60000000000000009</v>
      </c>
      <c r="R5" s="30">
        <f>SUMIF($B$4:$B$26,"Turnover and Pace Work",J4:J26)</f>
        <v>0.8</v>
      </c>
      <c r="S5" s="40">
        <f t="shared" ref="S5:S10" si="2">Q5/$Q$10</f>
        <v>0.13636363636363638</v>
      </c>
      <c r="T5" s="40">
        <f t="shared" ref="T5:T10" si="3">R5/$R$10</f>
        <v>0.13793103448275862</v>
      </c>
    </row>
    <row r="6" spans="1:20" ht="50" customHeight="1">
      <c r="A6" s="6" t="s">
        <v>43</v>
      </c>
      <c r="B6" s="6" t="str">
        <f>_xlfn.XLOOKUP(A6,TrainingTable[Training Component],TrainingTable[Category of Training Stimulus],"")</f>
        <v>Turnover and Pace Work</v>
      </c>
      <c r="C6" s="6" t="s">
        <v>56</v>
      </c>
      <c r="D6" s="6" t="s">
        <v>64</v>
      </c>
      <c r="E6" s="85" t="s">
        <v>208</v>
      </c>
      <c r="F6" s="85"/>
      <c r="G6" s="23">
        <v>1</v>
      </c>
      <c r="H6" s="23">
        <v>1</v>
      </c>
      <c r="I6" s="23">
        <v>0.2</v>
      </c>
      <c r="J6" s="23">
        <v>0.4</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78</v>
      </c>
      <c r="B7" s="6" t="str">
        <f>_xlfn.XLOOKUP(A7,TrainingTable[Training Component],TrainingTable[Category of Training Stimulus],"")</f>
        <v>Lactate Tolerance</v>
      </c>
      <c r="C7" s="6" t="s">
        <v>56</v>
      </c>
      <c r="D7" s="6" t="s">
        <v>64</v>
      </c>
      <c r="E7" s="85" t="s">
        <v>209</v>
      </c>
      <c r="F7" s="85"/>
      <c r="G7" s="23">
        <v>5</v>
      </c>
      <c r="H7" s="23">
        <v>5</v>
      </c>
      <c r="I7" s="23">
        <v>1</v>
      </c>
      <c r="J7" s="23">
        <v>1</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14</v>
      </c>
      <c r="B8" s="6" t="str">
        <f>_xlfn.XLOOKUP(A8,TrainingTable[Training Component],TrainingTable[Category of Training Stimulus],"")</f>
        <v>Aerobic Running</v>
      </c>
      <c r="C8" s="6" t="s">
        <v>55</v>
      </c>
      <c r="D8" s="6" t="s">
        <v>67</v>
      </c>
      <c r="E8" s="85" t="s">
        <v>210</v>
      </c>
      <c r="F8" s="85"/>
      <c r="G8" s="23">
        <v>10</v>
      </c>
      <c r="H8" s="23">
        <v>15</v>
      </c>
      <c r="I8" s="23">
        <v>1.4</v>
      </c>
      <c r="J8" s="23">
        <v>2</v>
      </c>
      <c r="K8" s="2"/>
      <c r="L8" s="33" t="s">
        <v>2</v>
      </c>
      <c r="M8" s="34">
        <f>SUMIF($B$4:$B$26,"Lactate Tolerance",G4:G26)</f>
        <v>5</v>
      </c>
      <c r="N8" s="34">
        <f>SUMIF($B$4:$B$26,"Lactate Tolerance",H4:H26)</f>
        <v>5</v>
      </c>
      <c r="O8" s="43">
        <f t="shared" si="0"/>
        <v>0.18181818181818182</v>
      </c>
      <c r="P8" s="43">
        <f t="shared" si="1"/>
        <v>0.13333333333333333</v>
      </c>
      <c r="Q8" s="34">
        <f>SUMIF($B$4:$B$26,"Lactate Tolerance",I4:I26)</f>
        <v>1</v>
      </c>
      <c r="R8" s="34">
        <f>SUMIF($B$4:$B$26,"Lactate Tolerance",J4:J26)</f>
        <v>1</v>
      </c>
      <c r="S8" s="43">
        <f t="shared" si="2"/>
        <v>0.22727272727272727</v>
      </c>
      <c r="T8" s="43">
        <f t="shared" si="3"/>
        <v>0.17241379310344829</v>
      </c>
    </row>
    <row r="9" spans="1:20" ht="50" customHeight="1">
      <c r="A9" s="6" t="s">
        <v>42</v>
      </c>
      <c r="B9" s="6" t="str">
        <f>_xlfn.XLOOKUP(A9,TrainingTable[Training Component],TrainingTable[Category of Training Stimulus],"")</f>
        <v>Turnover and Pace Work</v>
      </c>
      <c r="C9" s="6" t="s">
        <v>55</v>
      </c>
      <c r="D9" s="6" t="s">
        <v>67</v>
      </c>
      <c r="E9" s="85" t="s">
        <v>211</v>
      </c>
      <c r="F9" s="85"/>
      <c r="G9" s="23">
        <v>1.5</v>
      </c>
      <c r="H9" s="23">
        <v>1.5</v>
      </c>
      <c r="I9" s="23">
        <v>0.4</v>
      </c>
      <c r="J9" s="23">
        <v>0.4</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5"/>
      <c r="F10" s="85"/>
      <c r="G10" s="23"/>
      <c r="H10" s="23"/>
      <c r="I10" s="23"/>
      <c r="J10" s="23"/>
      <c r="K10" s="2"/>
      <c r="L10" s="46" t="s">
        <v>72</v>
      </c>
      <c r="M10" s="23">
        <f>SUM(M4:M9)</f>
        <v>27.5</v>
      </c>
      <c r="N10" s="23">
        <f>SUM(N4:N9)</f>
        <v>37.5</v>
      </c>
      <c r="O10" s="47">
        <f>M10/M10</f>
        <v>1</v>
      </c>
      <c r="P10" s="45">
        <f t="shared" si="1"/>
        <v>1</v>
      </c>
      <c r="Q10" s="23">
        <f>SUM(Q4:Q9)</f>
        <v>4.4000000000000004</v>
      </c>
      <c r="R10" s="23">
        <f>SUM(R4:R9)</f>
        <v>5.8</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zoomScale="140" zoomScaleNormal="140" workbookViewId="0">
      <selection activeCell="B11" sqref="B11"/>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45717</v>
      </c>
      <c r="C1" s="20" t="s">
        <v>77</v>
      </c>
      <c r="D1" s="20" t="s">
        <v>61</v>
      </c>
      <c r="E1" s="92" t="s">
        <v>60</v>
      </c>
      <c r="F1" s="92"/>
      <c r="G1" s="90" t="s">
        <v>53</v>
      </c>
      <c r="H1" s="91"/>
      <c r="I1" s="91"/>
      <c r="J1" s="91"/>
      <c r="L1" s="25" t="s">
        <v>39</v>
      </c>
      <c r="M1" s="89" t="s">
        <v>11</v>
      </c>
      <c r="N1" s="89"/>
      <c r="O1" s="89"/>
      <c r="P1" s="89"/>
      <c r="Q1" s="89" t="s">
        <v>12</v>
      </c>
      <c r="R1" s="89"/>
      <c r="S1" s="89"/>
      <c r="T1" s="89"/>
    </row>
    <row r="2" spans="1:20" ht="17">
      <c r="A2" s="82" t="s">
        <v>16</v>
      </c>
      <c r="B2" s="82" t="s">
        <v>40</v>
      </c>
      <c r="C2" s="82" t="s">
        <v>54</v>
      </c>
      <c r="D2" s="82" t="s">
        <v>62</v>
      </c>
      <c r="E2" s="84" t="s">
        <v>13</v>
      </c>
      <c r="F2" s="84"/>
      <c r="G2" s="89" t="s">
        <v>47</v>
      </c>
      <c r="H2" s="89"/>
      <c r="I2" s="89" t="s">
        <v>46</v>
      </c>
      <c r="J2" s="89"/>
      <c r="K2" s="83"/>
      <c r="L2" s="26"/>
      <c r="M2" s="88" t="s">
        <v>70</v>
      </c>
      <c r="N2" s="88"/>
      <c r="O2" s="88"/>
      <c r="P2" s="88"/>
      <c r="Q2" s="87" t="s">
        <v>71</v>
      </c>
      <c r="R2" s="87"/>
      <c r="S2" s="87"/>
      <c r="T2" s="87"/>
    </row>
    <row r="3" spans="1:20" ht="17">
      <c r="A3" s="82"/>
      <c r="B3" s="82"/>
      <c r="C3" s="82"/>
      <c r="D3" s="82"/>
      <c r="E3" s="84"/>
      <c r="F3" s="84"/>
      <c r="G3" s="22" t="s">
        <v>44</v>
      </c>
      <c r="H3" s="22" t="s">
        <v>45</v>
      </c>
      <c r="I3" s="22" t="s">
        <v>44</v>
      </c>
      <c r="J3" s="22" t="s">
        <v>45</v>
      </c>
      <c r="K3" s="83"/>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5" t="s">
        <v>212</v>
      </c>
      <c r="F4" s="85"/>
      <c r="G4" s="23">
        <v>10</v>
      </c>
      <c r="H4" s="23">
        <v>15</v>
      </c>
      <c r="I4" s="23">
        <v>1.4</v>
      </c>
      <c r="J4" s="23">
        <v>2</v>
      </c>
      <c r="K4" s="2"/>
      <c r="L4" s="27" t="s">
        <v>69</v>
      </c>
      <c r="M4" s="28">
        <f>SUMIF($B$4:$B$26,"Aerobic Running",G4:G26)</f>
        <v>25</v>
      </c>
      <c r="N4" s="28">
        <f>SUMIF($B$4:$B$26,"Aerobic Running",H4:H26)</f>
        <v>45</v>
      </c>
      <c r="O4" s="39">
        <f t="shared" ref="O4:O9" si="0">M4/$M$10</f>
        <v>0.67567567567567566</v>
      </c>
      <c r="P4" s="39">
        <f t="shared" ref="P4:P10" si="1">N4/$N$10</f>
        <v>0.77586206896551724</v>
      </c>
      <c r="Q4" s="28">
        <f>SUMIF($B$4:$B$26,"Aerobic Running",I4:I26)</f>
        <v>3.4</v>
      </c>
      <c r="R4" s="28">
        <f>SUMIF($B$4:$B$26,"Aerobic Running",J4:J26)</f>
        <v>6</v>
      </c>
      <c r="S4" s="39">
        <f>Q4/$Q$10</f>
        <v>0.56666666666666665</v>
      </c>
      <c r="T4" s="39">
        <f>R4/$R$10</f>
        <v>0.68181818181818177</v>
      </c>
    </row>
    <row r="5" spans="1:20" ht="50" customHeight="1">
      <c r="A5" s="6" t="s">
        <v>19</v>
      </c>
      <c r="B5" s="6" t="str">
        <f>_xlfn.XLOOKUP(A5,TrainingTable[Training Component],TrainingTable[Category of Training Stimulus],"")</f>
        <v>Stretching and Mobility</v>
      </c>
      <c r="C5" s="6" t="s">
        <v>55</v>
      </c>
      <c r="D5" s="6" t="s">
        <v>67</v>
      </c>
      <c r="E5" s="85" t="s">
        <v>207</v>
      </c>
      <c r="F5" s="85"/>
      <c r="G5" s="23">
        <v>5</v>
      </c>
      <c r="H5" s="23">
        <v>5</v>
      </c>
      <c r="I5" s="23">
        <v>0.2</v>
      </c>
      <c r="J5" s="23">
        <v>0.2</v>
      </c>
      <c r="K5" s="2"/>
      <c r="L5" s="29" t="s">
        <v>34</v>
      </c>
      <c r="M5" s="30">
        <f>SUMIF($B$4:$B$26,"Turnover and Pace Work",G4:G26)</f>
        <v>2</v>
      </c>
      <c r="N5" s="30">
        <f>SUMIF($B$4:$B$26,"Turnover and Pace Work",H4:H26)</f>
        <v>3</v>
      </c>
      <c r="O5" s="40">
        <f t="shared" si="0"/>
        <v>5.4054054054054057E-2</v>
      </c>
      <c r="P5" s="40">
        <f t="shared" si="1"/>
        <v>5.1724137931034482E-2</v>
      </c>
      <c r="Q5" s="30">
        <f>SUMIF($B$4:$B$26,"Turnover and Pace Work",I4:I26)</f>
        <v>0.60000000000000009</v>
      </c>
      <c r="R5" s="30">
        <f>SUMIF($B$4:$B$26,"Turnover and Pace Work",J4:J26)</f>
        <v>0.8</v>
      </c>
      <c r="S5" s="40">
        <f t="shared" ref="S5:S10" si="2">Q5/$Q$10</f>
        <v>0.10000000000000002</v>
      </c>
      <c r="T5" s="40">
        <f t="shared" ref="T5:T10" si="3">R5/$R$10</f>
        <v>9.0909090909090912E-2</v>
      </c>
    </row>
    <row r="6" spans="1:20" ht="50" customHeight="1">
      <c r="A6" s="6" t="s">
        <v>43</v>
      </c>
      <c r="B6" s="6" t="str">
        <f>_xlfn.XLOOKUP(A6,TrainingTable[Training Component],TrainingTable[Category of Training Stimulus],"")</f>
        <v>Turnover and Pace Work</v>
      </c>
      <c r="C6" s="6" t="s">
        <v>56</v>
      </c>
      <c r="D6" s="6" t="s">
        <v>64</v>
      </c>
      <c r="E6" s="85" t="s">
        <v>208</v>
      </c>
      <c r="F6" s="85"/>
      <c r="G6" s="23">
        <v>1</v>
      </c>
      <c r="H6" s="23">
        <v>1.5</v>
      </c>
      <c r="I6" s="23">
        <v>0.2</v>
      </c>
      <c r="J6" s="23">
        <v>0.4</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78</v>
      </c>
      <c r="B7" s="6" t="str">
        <f>_xlfn.XLOOKUP(A7,TrainingTable[Training Component],TrainingTable[Category of Training Stimulus],"")</f>
        <v>Lactate Tolerance</v>
      </c>
      <c r="C7" s="6" t="s">
        <v>56</v>
      </c>
      <c r="D7" s="6" t="s">
        <v>64</v>
      </c>
      <c r="E7" s="85" t="s">
        <v>213</v>
      </c>
      <c r="F7" s="85"/>
      <c r="G7" s="23">
        <v>10</v>
      </c>
      <c r="H7" s="23">
        <v>10</v>
      </c>
      <c r="I7" s="23">
        <v>2</v>
      </c>
      <c r="J7" s="23">
        <v>2</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14</v>
      </c>
      <c r="B8" s="6" t="str">
        <f>_xlfn.XLOOKUP(A8,TrainingTable[Training Component],TrainingTable[Category of Training Stimulus],"")</f>
        <v>Aerobic Running</v>
      </c>
      <c r="C8" s="6" t="s">
        <v>55</v>
      </c>
      <c r="D8" s="6" t="s">
        <v>67</v>
      </c>
      <c r="E8" s="85" t="s">
        <v>214</v>
      </c>
      <c r="F8" s="85"/>
      <c r="G8" s="23">
        <v>15</v>
      </c>
      <c r="H8" s="23">
        <v>30</v>
      </c>
      <c r="I8" s="23">
        <v>2</v>
      </c>
      <c r="J8" s="23">
        <v>4</v>
      </c>
      <c r="K8" s="2"/>
      <c r="L8" s="33" t="s">
        <v>2</v>
      </c>
      <c r="M8" s="34">
        <f>SUMIF($B$4:$B$26,"Lactate Tolerance",G4:G26)</f>
        <v>10</v>
      </c>
      <c r="N8" s="34">
        <f>SUMIF($B$4:$B$26,"Lactate Tolerance",H4:H26)</f>
        <v>10</v>
      </c>
      <c r="O8" s="43">
        <f t="shared" si="0"/>
        <v>0.27027027027027029</v>
      </c>
      <c r="P8" s="43">
        <f t="shared" si="1"/>
        <v>0.17241379310344829</v>
      </c>
      <c r="Q8" s="34">
        <f>SUMIF($B$4:$B$26,"Lactate Tolerance",I4:I26)</f>
        <v>2</v>
      </c>
      <c r="R8" s="34">
        <f>SUMIF($B$4:$B$26,"Lactate Tolerance",J4:J26)</f>
        <v>2</v>
      </c>
      <c r="S8" s="43">
        <f t="shared" si="2"/>
        <v>0.33333333333333331</v>
      </c>
      <c r="T8" s="43">
        <f t="shared" si="3"/>
        <v>0.22727272727272727</v>
      </c>
    </row>
    <row r="9" spans="1:20" ht="50" customHeight="1">
      <c r="A9" s="6" t="s">
        <v>42</v>
      </c>
      <c r="B9" s="6" t="str">
        <f>_xlfn.XLOOKUP(A9,TrainingTable[Training Component],TrainingTable[Category of Training Stimulus],"")</f>
        <v>Turnover and Pace Work</v>
      </c>
      <c r="C9" s="6" t="s">
        <v>55</v>
      </c>
      <c r="D9" s="6" t="s">
        <v>67</v>
      </c>
      <c r="E9" s="85" t="s">
        <v>215</v>
      </c>
      <c r="F9" s="85"/>
      <c r="G9" s="23">
        <v>1</v>
      </c>
      <c r="H9" s="23">
        <v>1.5</v>
      </c>
      <c r="I9" s="23">
        <v>0.4</v>
      </c>
      <c r="J9" s="23">
        <v>0.4</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t="s">
        <v>20</v>
      </c>
      <c r="B10" s="6" t="str">
        <f>_xlfn.XLOOKUP(A10,TrainingTable[Training Component],TrainingTable[Category of Training Stimulus],"")</f>
        <v>Stretching and Mobility</v>
      </c>
      <c r="C10" s="6" t="s">
        <v>57</v>
      </c>
      <c r="D10" s="6" t="s">
        <v>57</v>
      </c>
      <c r="E10" s="85" t="s">
        <v>216</v>
      </c>
      <c r="F10" s="85"/>
      <c r="G10" s="23">
        <v>5</v>
      </c>
      <c r="H10" s="23">
        <v>5</v>
      </c>
      <c r="I10" s="23">
        <v>0</v>
      </c>
      <c r="J10" s="23">
        <v>0</v>
      </c>
      <c r="K10" s="2"/>
      <c r="L10" s="46" t="s">
        <v>72</v>
      </c>
      <c r="M10" s="23">
        <f>SUM(M4:M9)</f>
        <v>37</v>
      </c>
      <c r="N10" s="23">
        <f>SUM(N4:N9)</f>
        <v>58</v>
      </c>
      <c r="O10" s="47">
        <f>M10/M10</f>
        <v>1</v>
      </c>
      <c r="P10" s="45">
        <f t="shared" si="1"/>
        <v>1</v>
      </c>
      <c r="Q10" s="23">
        <f>SUM(Q4:Q9)</f>
        <v>6</v>
      </c>
      <c r="R10" s="23">
        <f>SUM(R4:R9)</f>
        <v>8.8000000000000007</v>
      </c>
      <c r="S10" s="47">
        <f t="shared" si="2"/>
        <v>1</v>
      </c>
      <c r="T10" s="47">
        <f t="shared" si="3"/>
        <v>1</v>
      </c>
    </row>
    <row r="11" spans="1:20" ht="50" customHeight="1">
      <c r="A11" s="6"/>
      <c r="B11" s="6" t="str">
        <f>_xlfn.XLOOKUP(A11,TrainingTable[Training Component],TrainingTable[Category of Training Stimulus],"")</f>
        <v/>
      </c>
      <c r="C11" s="6" t="s">
        <v>57</v>
      </c>
      <c r="D11" s="6" t="s">
        <v>57</v>
      </c>
      <c r="E11" s="85"/>
      <c r="F11" s="85"/>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5"/>
      <c r="F12" s="85"/>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5"/>
      <c r="F13" s="85"/>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5"/>
      <c r="F14" s="85"/>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5"/>
      <c r="F15" s="85"/>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5"/>
      <c r="F16" s="85"/>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5"/>
      <c r="F17" s="85"/>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5"/>
      <c r="F18" s="85"/>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5"/>
      <c r="F19" s="85"/>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5"/>
      <c r="F20" s="85"/>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5"/>
      <c r="F21" s="85"/>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5"/>
      <c r="F22" s="85"/>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5"/>
      <c r="F23" s="85"/>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5"/>
      <c r="F24" s="85"/>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5"/>
      <c r="F25" s="85"/>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5"/>
      <c r="F26" s="85"/>
      <c r="G26" s="23"/>
      <c r="H26" s="23"/>
      <c r="I26" s="23"/>
      <c r="J26" s="23"/>
      <c r="K26" s="2"/>
      <c r="L26" s="24"/>
      <c r="M26" s="16"/>
      <c r="N26" s="16"/>
      <c r="O26" s="16"/>
      <c r="P26" s="16"/>
      <c r="Q26" s="16"/>
      <c r="R26" s="2"/>
      <c r="S26" s="16"/>
      <c r="T26" s="16"/>
    </row>
  </sheetData>
  <mergeCells count="37">
    <mergeCell ref="E24:F24"/>
    <mergeCell ref="E25:F25"/>
    <mergeCell ref="E26:F26"/>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E5:F5"/>
    <mergeCell ref="E1:F1"/>
    <mergeCell ref="G1:J1"/>
    <mergeCell ref="M1:P1"/>
    <mergeCell ref="Q1:T1"/>
    <mergeCell ref="G2:H2"/>
    <mergeCell ref="I2:J2"/>
    <mergeCell ref="K2:K3"/>
    <mergeCell ref="M2:P2"/>
    <mergeCell ref="Q2:T2"/>
    <mergeCell ref="E4:F4"/>
    <mergeCell ref="A2:A3"/>
    <mergeCell ref="B2:B3"/>
    <mergeCell ref="C2:C3"/>
    <mergeCell ref="D2:D3"/>
    <mergeCell ref="E2:F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zoomScale="140" zoomScaleNormal="140" workbookViewId="0">
      <selection activeCell="B1" sqref="B1"/>
    </sheetView>
  </sheetViews>
  <sheetFormatPr baseColWidth="10" defaultRowHeight="17"/>
  <cols>
    <col min="1" max="1" width="43.6640625" style="2" customWidth="1"/>
    <col min="2" max="2" width="17.33203125" style="2" customWidth="1"/>
    <col min="3" max="4" width="17.33203125" style="16" customWidth="1"/>
    <col min="5" max="5" width="81.33203125" style="2" customWidth="1"/>
    <col min="6" max="26" width="10.83203125" style="2"/>
  </cols>
  <sheetData>
    <row r="1" spans="1:5" ht="50" customHeight="1">
      <c r="A1" s="3" t="s">
        <v>165</v>
      </c>
      <c r="B1" s="5" t="s">
        <v>9</v>
      </c>
    </row>
    <row r="2" spans="1:5" ht="19" customHeight="1"/>
    <row r="3" spans="1:5" ht="50" customHeight="1">
      <c r="A3" s="51" t="s">
        <v>99</v>
      </c>
      <c r="B3" s="51" t="s">
        <v>100</v>
      </c>
      <c r="C3" s="53" t="s">
        <v>101</v>
      </c>
      <c r="D3" s="53" t="s">
        <v>102</v>
      </c>
      <c r="E3" s="51" t="s">
        <v>13</v>
      </c>
    </row>
    <row r="4" spans="1:5" ht="50" customHeight="1">
      <c r="A4" s="6" t="str" cm="1">
        <f t="array" ref="A4:E8">_xlfn._xlws.FILTER(Strength_Core2[],Strength_Core2[Routine]=B1)</f>
        <v>Romanian Deadlift (weighted or single leg)</v>
      </c>
      <c r="B4" s="6" t="str">
        <v>Lower Body B</v>
      </c>
      <c r="C4" s="23">
        <v>3</v>
      </c>
      <c r="D4" s="23" t="str">
        <v>5-10</v>
      </c>
      <c r="E4" s="6" t="str">
        <v>https://www.youtube.com/watch?v=cWoPMoxYHz0</v>
      </c>
    </row>
    <row r="5" spans="1:5" ht="50" customHeight="1">
      <c r="A5" s="6" t="str">
        <v>Goblet Squat</v>
      </c>
      <c r="B5" s="6" t="str">
        <v>Lower Body B</v>
      </c>
      <c r="C5" s="23">
        <v>3</v>
      </c>
      <c r="D5" s="23" t="str">
        <v>8-12</v>
      </c>
      <c r="E5" s="6" t="str">
        <v>https://www.youtube.com/watch?v=yGswPtbSlro</v>
      </c>
    </row>
    <row r="6" spans="1:5" ht="50" customHeight="1">
      <c r="A6" s="6" t="str">
        <v>Reverse Lunge</v>
      </c>
      <c r="B6" s="6" t="str">
        <v>Lower Body B</v>
      </c>
      <c r="C6" s="23">
        <v>2</v>
      </c>
      <c r="D6" s="23" t="str">
        <v>15 each leg</v>
      </c>
      <c r="E6" s="6" t="str">
        <v>https://www.youtube.com/watch?v=5frs7_F2SrU&amp;pp=ygUNcmV2ZXJzZSBsdW5nZQ%3D%3D</v>
      </c>
    </row>
    <row r="7" spans="1:5" ht="50" customHeight="1">
      <c r="A7" s="6" t="str">
        <v>Step-Ups</v>
      </c>
      <c r="B7" s="6" t="str">
        <v>Lower Body B</v>
      </c>
      <c r="C7" s="23">
        <v>3</v>
      </c>
      <c r="D7" s="23" t="str">
        <v>10-15 each leg</v>
      </c>
      <c r="E7" s="6" t="str">
        <v>https://www.youtube.com/watch?v=elhu-WC1qk4&amp;pp=ygUIc3RlcCB1cHM%3D</v>
      </c>
    </row>
    <row r="8" spans="1:5" ht="50" customHeight="1">
      <c r="A8" s="6" t="str">
        <v>Single Leg Glute Bridge</v>
      </c>
      <c r="B8" s="6" t="str">
        <v>Lower Body B</v>
      </c>
      <c r="C8" s="23">
        <v>3</v>
      </c>
      <c r="D8" s="23" t="str">
        <v>10-15 each leg</v>
      </c>
      <c r="E8" s="6" t="str">
        <v>https://www.youtube.com/watch?v=egs6m4J8u8c</v>
      </c>
    </row>
    <row r="9" spans="1:5" ht="50" customHeight="1"/>
    <row r="10" spans="1:5" ht="50" customHeight="1"/>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3"/>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151</v>
      </c>
      <c r="F1" s="3" t="s">
        <v>91</v>
      </c>
    </row>
    <row r="2" spans="1:6">
      <c r="A2" s="2" t="str" cm="1">
        <f t="array" ref="A2:A9">_xlfn._xlws.SORT(_xlfn.UNIQUE(TrainingTable[Category of Training Stimulus]))</f>
        <v>Aerobic Running</v>
      </c>
      <c r="B2" s="2" t="str" cm="1">
        <f t="array" ref="B2:B33">_xlfn._xlws.SORT(_xlfn.UNIQUE(TrainingTable[Training Component]))</f>
        <v>10K Pace Running</v>
      </c>
      <c r="C2" s="2" t="s">
        <v>55</v>
      </c>
      <c r="D2" s="2" t="s">
        <v>67</v>
      </c>
      <c r="E2" s="2" t="str" cm="1">
        <f t="array" ref="E2:E9">_xlfn.UNIQUE(Strength_Core2[Routine])</f>
        <v>Lower Body A</v>
      </c>
      <c r="F2" s="2" t="s">
        <v>94</v>
      </c>
    </row>
    <row r="3" spans="1:6">
      <c r="A3" s="2" t="str">
        <v>Lactate Tolerance</v>
      </c>
      <c r="B3" s="2" t="str">
        <v>1600M Pace Running</v>
      </c>
      <c r="C3" s="2" t="s">
        <v>57</v>
      </c>
      <c r="D3" s="2" t="s">
        <v>66</v>
      </c>
      <c r="E3" s="2" t="str">
        <v>Lower Body B</v>
      </c>
      <c r="F3" s="2" t="s">
        <v>93</v>
      </c>
    </row>
    <row r="4" spans="1:6">
      <c r="A4" s="2" t="str">
        <v>Recovery</v>
      </c>
      <c r="B4" s="2" t="str">
        <v>30M Flys</v>
      </c>
      <c r="C4" s="2" t="s">
        <v>56</v>
      </c>
      <c r="D4" s="2" t="s">
        <v>65</v>
      </c>
      <c r="E4" s="2" t="str">
        <v>Lower Body C</v>
      </c>
      <c r="F4" s="2" t="s">
        <v>95</v>
      </c>
    </row>
    <row r="5" spans="1:6">
      <c r="A5" s="2" t="str">
        <v>Speed Development</v>
      </c>
      <c r="B5" s="2" t="str">
        <v>3K Pace Running</v>
      </c>
      <c r="C5" s="2" t="s">
        <v>58</v>
      </c>
      <c r="D5" s="2" t="s">
        <v>57</v>
      </c>
      <c r="E5" s="2" t="str">
        <v>Lower Body D</v>
      </c>
      <c r="F5" s="2" t="s">
        <v>96</v>
      </c>
    </row>
    <row r="6" spans="1:6">
      <c r="A6" s="2" t="str">
        <v>Stretching and Mobility</v>
      </c>
      <c r="B6" s="2" t="str">
        <v>400M Pace Running</v>
      </c>
      <c r="D6" s="2" t="s">
        <v>63</v>
      </c>
      <c r="E6" s="2" t="str">
        <v>Core A</v>
      </c>
      <c r="F6" s="2" t="s">
        <v>78</v>
      </c>
    </row>
    <row r="7" spans="1:6">
      <c r="A7" s="2" t="str">
        <v>Threshold</v>
      </c>
      <c r="B7" s="2" t="str">
        <v>50M Flys</v>
      </c>
      <c r="D7" s="2" t="s">
        <v>64</v>
      </c>
      <c r="E7" s="2" t="str">
        <v>Core B</v>
      </c>
      <c r="F7" s="2" t="s">
        <v>97</v>
      </c>
    </row>
    <row r="8" spans="1:6">
      <c r="A8" s="2" t="str">
        <v>Turnover and Pace Work</v>
      </c>
      <c r="B8" s="2" t="str">
        <v>5K Pace Running</v>
      </c>
      <c r="D8" s="2" t="s">
        <v>68</v>
      </c>
      <c r="E8" s="2" t="str">
        <v>Core C</v>
      </c>
      <c r="F8" s="2" t="s">
        <v>77</v>
      </c>
    </row>
    <row r="9" spans="1:6">
      <c r="A9" s="2" t="str">
        <v>VO2 Max</v>
      </c>
      <c r="B9" s="2" t="str">
        <v>800M Pace Running</v>
      </c>
      <c r="E9" s="2" t="str">
        <v>Upper Body A</v>
      </c>
    </row>
    <row r="10" spans="1:6">
      <c r="B10" s="2" t="str">
        <v>80M Flys</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Pre-Race 100M Step Downs</v>
      </c>
    </row>
    <row r="20" spans="2:2">
      <c r="B20" s="2" t="str">
        <v>Pre-Race 200M Gear Changes</v>
      </c>
    </row>
    <row r="21" spans="2:2">
      <c r="B21" s="2" t="str">
        <v>Race</v>
      </c>
    </row>
    <row r="22" spans="2:2">
      <c r="B22" s="2" t="str">
        <v>Race Pace (1600M)</v>
      </c>
    </row>
    <row r="23" spans="2:2">
      <c r="B23" s="2" t="str">
        <v>Race Pace (3K)</v>
      </c>
    </row>
    <row r="24" spans="2:2">
      <c r="B24" s="2" t="str">
        <v>Race Pace (5K)</v>
      </c>
    </row>
    <row r="25" spans="2:2">
      <c r="B25" s="2" t="str">
        <v>Race Pace (800M)</v>
      </c>
    </row>
    <row r="26" spans="2:2">
      <c r="B26" s="2" t="str">
        <v>Standing Rest</v>
      </c>
    </row>
    <row r="27" spans="2:2">
      <c r="B27" s="2" t="str">
        <v>Static Stretching</v>
      </c>
    </row>
    <row r="28" spans="2:2">
      <c r="B28" s="2" t="str">
        <v>Strides (Post-Run)</v>
      </c>
    </row>
    <row r="29" spans="2:2">
      <c r="B29" s="2" t="str">
        <v>Strides (Pre-Run)</v>
      </c>
    </row>
    <row r="30" spans="2:2">
      <c r="B30" s="2" t="str">
        <v>Sub-Threshold Running</v>
      </c>
    </row>
    <row r="31" spans="2:2">
      <c r="B31" s="2" t="str">
        <v>Threshold Running</v>
      </c>
    </row>
    <row r="32" spans="2:2">
      <c r="B32" s="2" t="str">
        <v>Walking Rest</v>
      </c>
    </row>
    <row r="33" spans="2:2">
      <c r="B33"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6" zoomScale="160" zoomScaleNormal="160" workbookViewId="0">
      <selection activeCell="A33" sqref="A33"/>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77</v>
      </c>
      <c r="C29" s="14"/>
    </row>
    <row r="30" spans="1:3" ht="35" customHeight="1">
      <c r="A30" s="12" t="s">
        <v>2</v>
      </c>
      <c r="B30" s="13" t="s">
        <v>78</v>
      </c>
      <c r="C30" s="14"/>
    </row>
    <row r="31" spans="1:3" ht="25" customHeight="1">
      <c r="A31" s="12" t="s">
        <v>34</v>
      </c>
      <c r="B31" s="13" t="s">
        <v>190</v>
      </c>
      <c r="C31" s="14"/>
    </row>
    <row r="32" spans="1:3" ht="25" customHeight="1">
      <c r="A32" s="12" t="s">
        <v>34</v>
      </c>
      <c r="B32" s="13" t="s">
        <v>197</v>
      </c>
      <c r="C32" s="14"/>
    </row>
    <row r="33" spans="1:3" ht="25" customHeight="1">
      <c r="A33" s="12" t="s">
        <v>34</v>
      </c>
      <c r="B33" s="13" t="s">
        <v>198</v>
      </c>
      <c r="C33" s="14"/>
    </row>
    <row r="34" spans="1:3" ht="25" customHeight="1"/>
    <row r="35" spans="1:3" ht="25" customHeight="1"/>
    <row r="36" spans="1:3" ht="25" customHeight="1"/>
    <row r="37" spans="1:3" ht="25" customHeight="1"/>
    <row r="38" spans="1:3" ht="25" customHeight="1"/>
    <row r="39" spans="1:3" ht="25" customHeight="1"/>
    <row r="40" spans="1:3" ht="25" customHeight="1"/>
    <row r="41" spans="1:3" ht="25" customHeight="1"/>
    <row r="42" spans="1:3" ht="25" customHeight="1"/>
    <row r="43" spans="1:3" ht="25" customHeight="1"/>
    <row r="44" spans="1:3" ht="25" customHeight="1"/>
    <row r="45" spans="1:3" ht="25" customHeight="1"/>
    <row r="46" spans="1:3" ht="25" customHeight="1"/>
    <row r="47" spans="1:3" ht="25" customHeight="1"/>
    <row r="48" spans="1:3"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E43" sqref="E43"/>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99</v>
      </c>
      <c r="B1" s="3" t="s">
        <v>100</v>
      </c>
      <c r="C1" s="15" t="s">
        <v>101</v>
      </c>
      <c r="D1" s="72" t="s">
        <v>102</v>
      </c>
      <c r="E1" s="3" t="s">
        <v>13</v>
      </c>
      <c r="F1" s="2"/>
      <c r="G1" s="2"/>
      <c r="H1" s="2"/>
      <c r="I1" s="2"/>
      <c r="J1" s="2"/>
      <c r="K1" s="2"/>
      <c r="L1" s="2"/>
      <c r="M1" s="2"/>
    </row>
    <row r="2" spans="1:13" s="4" customFormat="1" ht="30" customHeight="1">
      <c r="A2" s="2" t="s">
        <v>103</v>
      </c>
      <c r="B2" s="2" t="s">
        <v>8</v>
      </c>
      <c r="C2" s="16">
        <v>3</v>
      </c>
      <c r="D2" s="73" t="s">
        <v>109</v>
      </c>
      <c r="E2" s="78" t="s">
        <v>157</v>
      </c>
      <c r="F2" s="2"/>
      <c r="G2" s="2"/>
      <c r="H2" s="2"/>
      <c r="I2" s="2"/>
      <c r="J2" s="2"/>
      <c r="K2" s="2"/>
      <c r="L2" s="2"/>
      <c r="M2" s="2"/>
    </row>
    <row r="3" spans="1:13" s="4" customFormat="1" ht="30" customHeight="1">
      <c r="A3" s="2" t="s">
        <v>105</v>
      </c>
      <c r="B3" s="2" t="s">
        <v>8</v>
      </c>
      <c r="C3" s="16">
        <v>3</v>
      </c>
      <c r="D3" s="73" t="s">
        <v>104</v>
      </c>
      <c r="E3" s="78" t="s">
        <v>158</v>
      </c>
      <c r="F3" s="2"/>
      <c r="G3" s="2"/>
      <c r="H3" s="2"/>
      <c r="I3" s="2"/>
      <c r="J3" s="2"/>
      <c r="K3" s="2"/>
      <c r="L3" s="2"/>
      <c r="M3" s="2"/>
    </row>
    <row r="4" spans="1:13" s="4" customFormat="1" ht="30" customHeight="1">
      <c r="A4" s="2" t="s">
        <v>106</v>
      </c>
      <c r="B4" s="2" t="s">
        <v>8</v>
      </c>
      <c r="C4" s="16">
        <v>2</v>
      </c>
      <c r="D4" s="73" t="s">
        <v>104</v>
      </c>
      <c r="E4" s="78" t="s">
        <v>159</v>
      </c>
      <c r="F4" s="2"/>
      <c r="G4" s="2"/>
      <c r="H4" s="2"/>
      <c r="I4" s="2"/>
      <c r="J4" s="2"/>
      <c r="K4" s="2"/>
      <c r="L4" s="2"/>
      <c r="M4" s="2"/>
    </row>
    <row r="5" spans="1:13" s="4" customFormat="1" ht="30" customHeight="1">
      <c r="A5" s="2" t="s">
        <v>107</v>
      </c>
      <c r="B5" s="2" t="s">
        <v>8</v>
      </c>
      <c r="C5" s="16">
        <v>2</v>
      </c>
      <c r="D5" s="73" t="s">
        <v>108</v>
      </c>
      <c r="E5" s="78" t="s">
        <v>160</v>
      </c>
      <c r="F5" s="2"/>
      <c r="G5" s="2"/>
      <c r="H5" s="2"/>
      <c r="I5" s="2"/>
      <c r="J5" s="2"/>
      <c r="K5" s="2"/>
      <c r="L5" s="2"/>
      <c r="M5" s="2"/>
    </row>
    <row r="6" spans="1:13" s="4" customFormat="1" ht="30" customHeight="1">
      <c r="A6" s="2" t="s">
        <v>110</v>
      </c>
      <c r="B6" s="2" t="s">
        <v>8</v>
      </c>
      <c r="C6" s="16">
        <v>3</v>
      </c>
      <c r="D6" s="73" t="s">
        <v>111</v>
      </c>
      <c r="E6" s="77" t="s">
        <v>161</v>
      </c>
      <c r="F6" s="2"/>
      <c r="G6" s="2"/>
      <c r="H6" s="2"/>
      <c r="I6" s="2"/>
      <c r="J6" s="2"/>
      <c r="K6" s="2"/>
      <c r="L6" s="2"/>
      <c r="M6" s="2"/>
    </row>
    <row r="7" spans="1:13" s="4" customFormat="1" ht="30" customHeight="1">
      <c r="A7" s="2" t="s">
        <v>112</v>
      </c>
      <c r="B7" s="2" t="s">
        <v>9</v>
      </c>
      <c r="C7" s="16">
        <v>3</v>
      </c>
      <c r="D7" s="73" t="s">
        <v>113</v>
      </c>
      <c r="E7" s="77" t="s">
        <v>162</v>
      </c>
      <c r="F7" s="2"/>
      <c r="G7" s="2"/>
      <c r="H7" s="2"/>
      <c r="I7" s="2"/>
      <c r="J7" s="2"/>
      <c r="K7" s="2"/>
      <c r="L7" s="2"/>
      <c r="M7" s="2"/>
    </row>
    <row r="8" spans="1:13" s="4" customFormat="1" ht="30" customHeight="1">
      <c r="A8" s="2" t="s">
        <v>114</v>
      </c>
      <c r="B8" s="2" t="s">
        <v>9</v>
      </c>
      <c r="C8" s="16">
        <v>3</v>
      </c>
      <c r="D8" s="73" t="s">
        <v>115</v>
      </c>
      <c r="E8" s="77" t="s">
        <v>163</v>
      </c>
      <c r="F8" s="2"/>
      <c r="G8" s="2"/>
      <c r="H8" s="2"/>
      <c r="I8" s="2"/>
      <c r="J8" s="2"/>
      <c r="K8" s="2"/>
      <c r="L8" s="2"/>
      <c r="M8" s="2"/>
    </row>
    <row r="9" spans="1:13" s="4" customFormat="1" ht="30" customHeight="1">
      <c r="A9" s="2" t="s">
        <v>164</v>
      </c>
      <c r="B9" s="2" t="s">
        <v>9</v>
      </c>
      <c r="C9" s="16">
        <v>2</v>
      </c>
      <c r="D9" s="73" t="s">
        <v>116</v>
      </c>
      <c r="E9" s="78" t="s">
        <v>166</v>
      </c>
      <c r="F9" s="2"/>
      <c r="G9" s="2"/>
      <c r="H9" s="2"/>
      <c r="I9" s="2"/>
      <c r="J9" s="2"/>
      <c r="K9" s="2"/>
      <c r="L9" s="2"/>
      <c r="M9" s="2"/>
    </row>
    <row r="10" spans="1:13" s="4" customFormat="1" ht="30" customHeight="1">
      <c r="A10" s="2" t="s">
        <v>117</v>
      </c>
      <c r="B10" s="2" t="s">
        <v>9</v>
      </c>
      <c r="C10" s="16">
        <v>3</v>
      </c>
      <c r="D10" s="73" t="s">
        <v>108</v>
      </c>
      <c r="E10" s="78" t="s">
        <v>167</v>
      </c>
      <c r="F10" s="2"/>
      <c r="G10" s="2"/>
      <c r="H10" s="2"/>
      <c r="I10" s="2"/>
      <c r="J10" s="2"/>
      <c r="K10" s="2"/>
      <c r="L10" s="2"/>
      <c r="M10" s="2"/>
    </row>
    <row r="11" spans="1:13" s="4" customFormat="1" ht="30" customHeight="1">
      <c r="A11" s="2" t="s">
        <v>118</v>
      </c>
      <c r="B11" s="2" t="s">
        <v>9</v>
      </c>
      <c r="C11" s="16">
        <v>3</v>
      </c>
      <c r="D11" s="73" t="s">
        <v>108</v>
      </c>
      <c r="E11" s="78" t="s">
        <v>168</v>
      </c>
      <c r="F11" s="2"/>
      <c r="G11" s="2"/>
      <c r="H11" s="2"/>
      <c r="I11" s="2"/>
      <c r="J11" s="2"/>
      <c r="K11" s="2"/>
      <c r="L11" s="2"/>
      <c r="M11" s="2"/>
    </row>
    <row r="12" spans="1:13" s="4" customFormat="1" ht="30" customHeight="1">
      <c r="A12" s="2" t="s">
        <v>119</v>
      </c>
      <c r="B12" s="2" t="s">
        <v>120</v>
      </c>
      <c r="C12" s="16">
        <v>2</v>
      </c>
      <c r="D12" s="73" t="s">
        <v>123</v>
      </c>
      <c r="E12" s="78" t="s">
        <v>169</v>
      </c>
      <c r="F12" s="2"/>
      <c r="G12" s="2"/>
      <c r="H12" s="2"/>
      <c r="I12" s="2"/>
      <c r="J12" s="2"/>
      <c r="K12" s="2"/>
      <c r="L12" s="2"/>
      <c r="M12" s="2"/>
    </row>
    <row r="13" spans="1:13" s="4" customFormat="1" ht="30" customHeight="1">
      <c r="A13" s="2" t="s">
        <v>121</v>
      </c>
      <c r="B13" s="2" t="s">
        <v>120</v>
      </c>
      <c r="C13" s="16">
        <v>2</v>
      </c>
      <c r="D13" s="73" t="s">
        <v>124</v>
      </c>
      <c r="E13" s="78" t="s">
        <v>170</v>
      </c>
      <c r="F13" s="2"/>
      <c r="G13" s="2"/>
      <c r="H13" s="2"/>
      <c r="I13" s="2"/>
      <c r="J13" s="2"/>
      <c r="K13" s="2"/>
      <c r="L13" s="2"/>
      <c r="M13" s="2"/>
    </row>
    <row r="14" spans="1:13" s="4" customFormat="1" ht="30" customHeight="1">
      <c r="A14" s="2" t="s">
        <v>122</v>
      </c>
      <c r="B14" s="2" t="s">
        <v>120</v>
      </c>
      <c r="C14" s="16">
        <v>2</v>
      </c>
      <c r="D14" s="73" t="s">
        <v>123</v>
      </c>
      <c r="E14" s="2"/>
      <c r="F14" s="2"/>
      <c r="G14" s="2"/>
      <c r="H14" s="2"/>
      <c r="I14" s="2"/>
      <c r="J14" s="2"/>
      <c r="K14" s="2"/>
      <c r="L14" s="2"/>
      <c r="M14" s="2"/>
    </row>
    <row r="15" spans="1:13" s="4" customFormat="1" ht="30" customHeight="1">
      <c r="A15" s="2" t="s">
        <v>125</v>
      </c>
      <c r="B15" s="2" t="s">
        <v>120</v>
      </c>
      <c r="C15" s="16">
        <v>2</v>
      </c>
      <c r="D15" s="73" t="s">
        <v>126</v>
      </c>
      <c r="E15" s="2"/>
      <c r="F15" s="2"/>
      <c r="G15" s="2"/>
      <c r="H15" s="2"/>
      <c r="I15" s="2"/>
      <c r="J15" s="2"/>
      <c r="K15" s="2"/>
      <c r="L15" s="2"/>
      <c r="M15" s="2"/>
    </row>
    <row r="16" spans="1:13" s="4" customFormat="1" ht="30" customHeight="1">
      <c r="A16" s="2" t="s">
        <v>127</v>
      </c>
      <c r="B16" s="2" t="s">
        <v>120</v>
      </c>
      <c r="C16" s="16">
        <v>2</v>
      </c>
      <c r="D16" s="73" t="s">
        <v>115</v>
      </c>
      <c r="E16" s="2"/>
      <c r="F16" s="2"/>
      <c r="G16" s="2"/>
      <c r="H16" s="2"/>
      <c r="I16" s="2"/>
      <c r="J16" s="2"/>
      <c r="K16" s="2"/>
      <c r="L16" s="2"/>
      <c r="M16" s="2"/>
    </row>
    <row r="17" spans="1:13" s="4" customFormat="1" ht="30" customHeight="1">
      <c r="A17" s="2" t="s">
        <v>128</v>
      </c>
      <c r="B17" s="2" t="s">
        <v>129</v>
      </c>
      <c r="C17" s="16">
        <v>2</v>
      </c>
      <c r="D17" s="73" t="s">
        <v>111</v>
      </c>
      <c r="E17" s="2"/>
      <c r="F17" s="2"/>
      <c r="G17" s="2"/>
      <c r="H17" s="2"/>
      <c r="I17" s="2"/>
      <c r="J17" s="2"/>
      <c r="K17" s="2"/>
      <c r="L17" s="2"/>
      <c r="M17" s="2"/>
    </row>
    <row r="18" spans="1:13" s="4" customFormat="1" ht="30" customHeight="1">
      <c r="A18" s="2" t="s">
        <v>130</v>
      </c>
      <c r="B18" s="2" t="s">
        <v>129</v>
      </c>
      <c r="C18" s="16">
        <v>2</v>
      </c>
      <c r="D18" s="73" t="s">
        <v>104</v>
      </c>
      <c r="E18" s="2"/>
      <c r="F18" s="2"/>
      <c r="G18" s="2"/>
      <c r="H18" s="2"/>
      <c r="I18" s="2"/>
      <c r="J18" s="2"/>
      <c r="K18" s="2"/>
      <c r="L18" s="2"/>
      <c r="M18" s="2"/>
    </row>
    <row r="19" spans="1:13" s="4" customFormat="1" ht="30" customHeight="1">
      <c r="A19" s="2" t="s">
        <v>135</v>
      </c>
      <c r="B19" s="2" t="s">
        <v>129</v>
      </c>
      <c r="C19" s="16">
        <v>2</v>
      </c>
      <c r="D19" s="73" t="s">
        <v>123</v>
      </c>
      <c r="E19" s="2"/>
      <c r="F19" s="2"/>
      <c r="G19" s="2"/>
      <c r="H19" s="2"/>
      <c r="I19" s="2"/>
      <c r="J19" s="2"/>
      <c r="K19" s="2"/>
      <c r="L19" s="2"/>
      <c r="M19" s="2"/>
    </row>
    <row r="20" spans="1:13" s="4" customFormat="1" ht="30" customHeight="1">
      <c r="A20" s="2" t="s">
        <v>131</v>
      </c>
      <c r="B20" s="2" t="s">
        <v>129</v>
      </c>
      <c r="C20" s="16">
        <v>2</v>
      </c>
      <c r="D20" s="73" t="s">
        <v>134</v>
      </c>
      <c r="E20" s="2"/>
      <c r="F20" s="2"/>
      <c r="G20" s="2"/>
      <c r="H20" s="2"/>
      <c r="I20" s="2"/>
      <c r="J20" s="2"/>
      <c r="K20" s="2"/>
      <c r="L20" s="2"/>
      <c r="M20" s="2"/>
    </row>
    <row r="21" spans="1:13" s="4" customFormat="1" ht="30" customHeight="1">
      <c r="A21" s="2" t="s">
        <v>132</v>
      </c>
      <c r="B21" s="2" t="s">
        <v>129</v>
      </c>
      <c r="C21" s="16">
        <v>2</v>
      </c>
      <c r="D21" s="73" t="s">
        <v>133</v>
      </c>
      <c r="E21" s="2"/>
      <c r="F21" s="2"/>
      <c r="G21" s="2"/>
      <c r="H21" s="2"/>
      <c r="I21" s="2"/>
      <c r="J21" s="2"/>
      <c r="K21" s="2"/>
      <c r="L21" s="2"/>
      <c r="M21" s="2"/>
    </row>
    <row r="22" spans="1:13" s="4" customFormat="1" ht="30" customHeight="1">
      <c r="A22" s="2" t="s">
        <v>136</v>
      </c>
      <c r="B22" s="2" t="s">
        <v>4</v>
      </c>
      <c r="C22" s="16">
        <v>1</v>
      </c>
      <c r="D22" s="73" t="s">
        <v>111</v>
      </c>
      <c r="E22" s="2"/>
      <c r="F22" s="2"/>
      <c r="G22" s="2"/>
      <c r="H22" s="2"/>
      <c r="I22" s="2"/>
      <c r="J22" s="2"/>
      <c r="K22" s="2"/>
      <c r="L22" s="2"/>
      <c r="M22" s="2"/>
    </row>
    <row r="23" spans="1:13" s="4" customFormat="1" ht="30" customHeight="1">
      <c r="A23" s="2" t="s">
        <v>137</v>
      </c>
      <c r="B23" s="2" t="s">
        <v>4</v>
      </c>
      <c r="C23" s="16">
        <v>1</v>
      </c>
      <c r="D23" s="73" t="s">
        <v>138</v>
      </c>
      <c r="E23" s="2"/>
      <c r="F23" s="2"/>
      <c r="G23" s="2"/>
      <c r="H23" s="2"/>
      <c r="I23" s="2"/>
      <c r="J23" s="2"/>
      <c r="K23" s="2"/>
      <c r="L23" s="2"/>
      <c r="M23" s="2"/>
    </row>
    <row r="24" spans="1:13" s="4" customFormat="1" ht="30" customHeight="1">
      <c r="A24" s="2" t="s">
        <v>139</v>
      </c>
      <c r="B24" s="2" t="s">
        <v>4</v>
      </c>
      <c r="C24" s="16">
        <v>1</v>
      </c>
      <c r="D24" s="73" t="s">
        <v>140</v>
      </c>
      <c r="E24" s="2"/>
      <c r="F24" s="2"/>
      <c r="G24" s="2"/>
      <c r="H24" s="2"/>
      <c r="I24" s="2"/>
      <c r="J24" s="2"/>
      <c r="K24" s="2"/>
      <c r="L24" s="2"/>
      <c r="M24" s="2"/>
    </row>
    <row r="25" spans="1:13" s="4" customFormat="1" ht="30" customHeight="1">
      <c r="A25" s="2" t="s">
        <v>141</v>
      </c>
      <c r="B25" s="2" t="s">
        <v>4</v>
      </c>
      <c r="C25" s="16">
        <v>1</v>
      </c>
      <c r="D25" s="73" t="s">
        <v>111</v>
      </c>
      <c r="E25" s="2"/>
      <c r="F25" s="2"/>
      <c r="G25" s="2"/>
      <c r="H25" s="2"/>
      <c r="I25" s="2"/>
      <c r="J25" s="2"/>
      <c r="K25" s="2"/>
      <c r="L25" s="2"/>
      <c r="M25" s="2"/>
    </row>
    <row r="26" spans="1:13" s="4" customFormat="1" ht="30" customHeight="1">
      <c r="A26" s="2" t="s">
        <v>142</v>
      </c>
      <c r="B26" s="2" t="s">
        <v>4</v>
      </c>
      <c r="C26" s="16">
        <v>1</v>
      </c>
      <c r="D26" s="73" t="s">
        <v>143</v>
      </c>
      <c r="E26" s="2"/>
      <c r="F26" s="2"/>
      <c r="G26" s="2"/>
      <c r="H26" s="2"/>
      <c r="I26" s="2"/>
      <c r="J26" s="2"/>
      <c r="K26" s="2"/>
      <c r="L26" s="2"/>
      <c r="M26" s="2"/>
    </row>
    <row r="27" spans="1:13" s="4" customFormat="1" ht="30" customHeight="1">
      <c r="A27" s="2" t="s">
        <v>144</v>
      </c>
      <c r="B27" s="2" t="s">
        <v>5</v>
      </c>
      <c r="C27" s="16">
        <v>1</v>
      </c>
      <c r="D27" s="73" t="s">
        <v>111</v>
      </c>
      <c r="E27" s="2"/>
      <c r="F27" s="2"/>
      <c r="G27" s="2"/>
      <c r="H27" s="2"/>
      <c r="I27" s="2"/>
      <c r="J27" s="2"/>
      <c r="K27" s="2"/>
      <c r="L27" s="2"/>
      <c r="M27" s="2"/>
    </row>
    <row r="28" spans="1:13" s="4" customFormat="1" ht="30" customHeight="1">
      <c r="A28" s="2" t="s">
        <v>145</v>
      </c>
      <c r="B28" s="2" t="s">
        <v>5</v>
      </c>
      <c r="C28" s="16">
        <v>1</v>
      </c>
      <c r="D28" s="73" t="s">
        <v>111</v>
      </c>
      <c r="E28" s="2"/>
      <c r="F28" s="2"/>
      <c r="G28" s="2"/>
      <c r="H28" s="2"/>
      <c r="I28" s="2"/>
      <c r="J28" s="2"/>
      <c r="K28" s="2"/>
      <c r="L28" s="2"/>
      <c r="M28" s="2"/>
    </row>
    <row r="29" spans="1:13" s="4" customFormat="1" ht="30" customHeight="1">
      <c r="A29" s="2" t="s">
        <v>146</v>
      </c>
      <c r="B29" s="2" t="s">
        <v>5</v>
      </c>
      <c r="C29" s="16">
        <v>1</v>
      </c>
      <c r="D29" s="73" t="s">
        <v>147</v>
      </c>
      <c r="E29" s="2"/>
      <c r="F29" s="2"/>
      <c r="G29" s="2"/>
      <c r="H29" s="2"/>
      <c r="I29" s="2"/>
      <c r="J29" s="2"/>
      <c r="K29" s="2"/>
      <c r="L29" s="2"/>
      <c r="M29" s="2"/>
    </row>
    <row r="30" spans="1:13" s="4" customFormat="1" ht="30" customHeight="1">
      <c r="A30" s="2" t="s">
        <v>139</v>
      </c>
      <c r="B30" s="2" t="s">
        <v>5</v>
      </c>
      <c r="C30" s="16">
        <v>1</v>
      </c>
      <c r="D30" s="73" t="s">
        <v>140</v>
      </c>
      <c r="E30" s="2"/>
      <c r="F30" s="2"/>
      <c r="G30" s="2"/>
      <c r="H30" s="2"/>
      <c r="I30" s="2"/>
      <c r="J30" s="2"/>
      <c r="K30" s="2"/>
      <c r="L30" s="2"/>
      <c r="M30" s="2"/>
    </row>
    <row r="31" spans="1:13" s="4" customFormat="1" ht="30" customHeight="1">
      <c r="A31" s="2" t="s">
        <v>148</v>
      </c>
      <c r="B31" s="2" t="s">
        <v>5</v>
      </c>
      <c r="C31" s="16">
        <v>1</v>
      </c>
      <c r="D31" s="73" t="s">
        <v>149</v>
      </c>
      <c r="E31" s="2"/>
      <c r="F31" s="2"/>
      <c r="G31" s="2"/>
      <c r="H31" s="2"/>
      <c r="I31" s="2"/>
      <c r="J31" s="2"/>
      <c r="K31" s="2"/>
      <c r="L31" s="2"/>
      <c r="M31" s="2"/>
    </row>
    <row r="32" spans="1:13" s="4" customFormat="1" ht="30" customHeight="1">
      <c r="A32" s="2" t="s">
        <v>136</v>
      </c>
      <c r="B32" s="2" t="s">
        <v>6</v>
      </c>
      <c r="C32" s="16">
        <v>1</v>
      </c>
      <c r="D32" s="73" t="s">
        <v>111</v>
      </c>
      <c r="E32" s="2"/>
      <c r="F32" s="2"/>
      <c r="G32" s="2"/>
      <c r="H32" s="2"/>
      <c r="I32" s="2"/>
      <c r="J32" s="2"/>
      <c r="K32" s="2"/>
      <c r="L32" s="2"/>
      <c r="M32" s="2"/>
    </row>
    <row r="33" spans="1:13" s="4" customFormat="1" ht="30" customHeight="1">
      <c r="A33" s="2" t="s">
        <v>145</v>
      </c>
      <c r="B33" s="2" t="s">
        <v>6</v>
      </c>
      <c r="C33" s="16">
        <v>1</v>
      </c>
      <c r="D33" s="73" t="s">
        <v>111</v>
      </c>
      <c r="E33" s="2"/>
      <c r="F33" s="2"/>
      <c r="G33" s="2"/>
      <c r="H33" s="2"/>
      <c r="I33" s="2"/>
      <c r="J33" s="2"/>
      <c r="K33" s="2"/>
      <c r="L33" s="2"/>
      <c r="M33" s="2"/>
    </row>
    <row r="34" spans="1:13" s="4" customFormat="1" ht="30" customHeight="1">
      <c r="A34" s="2" t="s">
        <v>141</v>
      </c>
      <c r="B34" s="2" t="s">
        <v>6</v>
      </c>
      <c r="C34" s="16">
        <v>1</v>
      </c>
      <c r="D34" s="73" t="s">
        <v>111</v>
      </c>
      <c r="E34" s="2"/>
      <c r="F34" s="2"/>
      <c r="G34" s="2"/>
      <c r="H34" s="2"/>
      <c r="I34" s="2"/>
      <c r="J34" s="2"/>
      <c r="K34" s="2"/>
      <c r="L34" s="2"/>
      <c r="M34" s="2"/>
    </row>
    <row r="35" spans="1:13" s="4" customFormat="1" ht="30" customHeight="1">
      <c r="A35" s="2" t="s">
        <v>142</v>
      </c>
      <c r="B35" s="2" t="s">
        <v>6</v>
      </c>
      <c r="C35" s="16">
        <v>1</v>
      </c>
      <c r="D35" s="73" t="s">
        <v>143</v>
      </c>
      <c r="E35" s="2"/>
      <c r="F35" s="2"/>
      <c r="G35" s="2"/>
      <c r="H35" s="2"/>
      <c r="I35" s="2"/>
      <c r="J35" s="2"/>
      <c r="K35" s="2"/>
      <c r="L35" s="2"/>
      <c r="M35" s="2"/>
    </row>
    <row r="36" spans="1:13" s="4" customFormat="1" ht="30" customHeight="1">
      <c r="A36" s="2" t="s">
        <v>150</v>
      </c>
      <c r="B36" s="2" t="s">
        <v>6</v>
      </c>
      <c r="C36" s="16">
        <v>1</v>
      </c>
      <c r="D36" s="73" t="s">
        <v>111</v>
      </c>
      <c r="E36" s="2"/>
      <c r="F36" s="2"/>
      <c r="G36" s="2"/>
      <c r="H36" s="2"/>
      <c r="I36" s="2"/>
      <c r="J36" s="2"/>
      <c r="K36" s="2"/>
      <c r="L36" s="2"/>
      <c r="M36" s="2"/>
    </row>
    <row r="37" spans="1:13" s="4" customFormat="1" ht="30" customHeight="1">
      <c r="A37" s="2" t="s">
        <v>172</v>
      </c>
      <c r="B37" s="2" t="s">
        <v>7</v>
      </c>
      <c r="C37" s="16">
        <v>2</v>
      </c>
      <c r="D37" s="73" t="s">
        <v>174</v>
      </c>
      <c r="E37" s="2"/>
      <c r="F37" s="2"/>
      <c r="G37" s="2"/>
      <c r="H37" s="2"/>
      <c r="I37" s="2"/>
      <c r="J37" s="2"/>
      <c r="K37" s="2"/>
      <c r="L37" s="2"/>
      <c r="M37" s="2"/>
    </row>
    <row r="38" spans="1:13" s="4" customFormat="1" ht="30" customHeight="1">
      <c r="A38" s="2" t="s">
        <v>173</v>
      </c>
      <c r="B38" s="2" t="s">
        <v>7</v>
      </c>
      <c r="C38" s="16">
        <v>2</v>
      </c>
      <c r="D38" s="73" t="s">
        <v>174</v>
      </c>
      <c r="E38" s="2"/>
      <c r="F38" s="2"/>
      <c r="G38" s="2"/>
      <c r="H38" s="2"/>
      <c r="I38" s="2"/>
      <c r="J38" s="2"/>
      <c r="K38" s="2"/>
      <c r="L38" s="2"/>
      <c r="M38" s="2"/>
    </row>
    <row r="39" spans="1:13" s="4" customFormat="1" ht="30" customHeight="1">
      <c r="A39" s="2" t="s">
        <v>175</v>
      </c>
      <c r="B39" s="2" t="s">
        <v>7</v>
      </c>
      <c r="C39" s="16">
        <v>2</v>
      </c>
      <c r="D39" s="73" t="s">
        <v>174</v>
      </c>
      <c r="E39" s="2"/>
      <c r="F39" s="2"/>
      <c r="G39" s="2"/>
      <c r="H39" s="2"/>
      <c r="I39" s="2"/>
      <c r="J39" s="2"/>
      <c r="K39" s="2"/>
      <c r="L39" s="2"/>
      <c r="M39" s="2"/>
    </row>
    <row r="40" spans="1:13" s="4" customFormat="1" ht="30" customHeight="1">
      <c r="A40" s="2" t="s">
        <v>176</v>
      </c>
      <c r="B40" s="2" t="s">
        <v>7</v>
      </c>
      <c r="C40" s="16">
        <v>2</v>
      </c>
      <c r="D40" s="73" t="s">
        <v>174</v>
      </c>
      <c r="E40" s="2"/>
      <c r="F40" s="2"/>
      <c r="G40" s="2"/>
      <c r="H40" s="2"/>
      <c r="I40" s="2"/>
      <c r="J40" s="2"/>
      <c r="K40" s="2"/>
      <c r="L40" s="2"/>
      <c r="M40" s="2"/>
    </row>
    <row r="41" spans="1:13" s="4" customFormat="1" ht="30" customHeight="1">
      <c r="A41" s="2" t="s">
        <v>192</v>
      </c>
      <c r="B41" s="2" t="s">
        <v>8</v>
      </c>
      <c r="C41" s="16">
        <v>2</v>
      </c>
      <c r="D41" s="73" t="s">
        <v>193</v>
      </c>
      <c r="E41" s="2" t="s">
        <v>194</v>
      </c>
      <c r="F41" s="2"/>
      <c r="G41" s="2"/>
      <c r="H41" s="2"/>
      <c r="I41" s="2"/>
      <c r="J41" s="2"/>
      <c r="K41" s="2"/>
      <c r="L41" s="2"/>
      <c r="M41" s="2"/>
    </row>
    <row r="42" spans="1:13" s="4" customFormat="1" ht="30" customHeight="1">
      <c r="A42" s="2" t="s">
        <v>192</v>
      </c>
      <c r="B42" s="2" t="s">
        <v>120</v>
      </c>
      <c r="C42" s="16">
        <v>2</v>
      </c>
      <c r="D42" s="73" t="s">
        <v>193</v>
      </c>
      <c r="E42" s="2" t="s">
        <v>194</v>
      </c>
      <c r="F42" s="2"/>
      <c r="G42" s="2"/>
      <c r="H42" s="2"/>
      <c r="I42" s="2"/>
      <c r="J42" s="2"/>
      <c r="K42" s="2"/>
      <c r="L42" s="2"/>
      <c r="M42" s="2"/>
    </row>
    <row r="43" spans="1:13" s="4" customFormat="1" ht="30" customHeight="1">
      <c r="A43" s="2"/>
      <c r="B43" s="2"/>
      <c r="C43" s="16"/>
      <c r="D43" s="73"/>
      <c r="E43" s="2"/>
      <c r="F43" s="2"/>
      <c r="G43" s="2"/>
      <c r="H43" s="2"/>
      <c r="I43" s="2"/>
      <c r="J43" s="2"/>
      <c r="K43" s="2"/>
      <c r="L43" s="2"/>
      <c r="M43" s="2"/>
    </row>
    <row r="44" spans="1:13" s="4" customFormat="1" ht="30" customHeight="1">
      <c r="A44" s="2"/>
      <c r="B44" s="2"/>
      <c r="C44" s="16"/>
      <c r="D44" s="73"/>
      <c r="E44" s="2"/>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2025-03-03T04:18:02Z</dcterms:modified>
</cp:coreProperties>
</file>