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B26F2431-D0A0-DB4E-969C-C1FE58865099}"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<sst xmlns="http://schemas.openxmlformats.org/spreadsheetml/2006/main" count="695" uniqueCount="223">
  <si>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</si>
  <si>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</si>
  <si>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</si>
  <si>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</si>
  <si>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</si>
  <si>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</si>
  <si>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</si>
  <si>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</si>
  <si>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</si>
  <si>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</si>
  <si>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</si>
  <si>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</si>
  <si>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</si>
  <si>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</si>
  <si>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</si>
  <si>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</si>
  <si>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</si>
  <si>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</si>
  <si>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</si>
  <si>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</si>
  <si>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</si>
  <si>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</si>
  <si>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</si>
  <si>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</si>
  <si>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</si>
  <si>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</si>
  <si>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</si>
  <si>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</si>
  <si>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</si>
  <si>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</si>
  <si>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</si>
  <si>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</si>
  <si>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</si>
  <si>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</si>
  <si>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</si>
  <si>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</si>
  <si>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</si>
  <si>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</si>
  <si>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</si>
  <si>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</si>
  <si>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</si>
  <si>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</si>
  <si>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</si>
  <si>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</si>
  <si>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</si>
  <si>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</si>
  <si>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</si>
  <si>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</si>
  <si>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</si>
  <si>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</si>
  <si>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</si>
  <si>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</si>
  <si>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</si>
  <si>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</si>
  <si>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</si>
  <si>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</si>
  <si>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</si>
  <si>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</si>
  <si>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</si>
  <si>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</si>
  <si>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</si>
  <si>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</si>
  <si>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</si>
  <si>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</si>
  <si>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</si>
  <si>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</si>
  <si>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</si>
  <si>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</si>
  <si>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</si>
  <si>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</si>
  <si>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</si>
  <si>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</si>
  <si>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</si>
  <si>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</si>
  <si>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</si>
  <si>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</si>
  <si>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</si>
  <si>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</si>
  <si>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</si>
  <si>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</si>
  <si>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</si>
  <si>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</si>
  <si>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</si>
  <si>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</si>
  <si>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</si>
  <si>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</si>
  <si>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</si>
  <si>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</si>
  <si>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</si>
  <si>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</si>
  <si>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</si>
  <si>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</si>
  <si>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</si>
  <si>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</si>
  <si>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</si>
  <si>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</si>
  <si>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</si>
  <si>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</si>
  <si>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</si>
  <si>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</si>
  <si>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</si>
  <si>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</si>
  <si>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</si>
  <si>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</si>
  <si>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</si>
  <si>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</si>
  <si>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</si>
  <si>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</si>
  <si>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</si>
  <si>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</si>
  <si>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</si>
  <si>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</si>
  <si>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</si>
  <si>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</si>
  <si>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</si>
  <si>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</si>
  <si>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</si>
  <si>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</si>
  <si>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</si>
  <si>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</si>
  <si>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</si>
  <si>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</si>
  <si>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</si>
  <si>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</si>
  <si>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</si>
  <si>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</si>
  <si>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</si>
  <si>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</si>
  <si>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</si>
  <si>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</si>
  <si>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</si>
  <si>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</si>
  <si>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</si>
  <si>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</si>
  <si>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</si>
  <si>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</si>
  <si>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</si>
  <si>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</si>
  <si>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</si>
  <si>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</si>
  <si>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</si>
  <si>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</si>
  <si>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</si>
  <si>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</si>
  <si>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</si>
  <si>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</si>
  <si>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</si>
  <si>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</si>
  <si>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</si>
  <si>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</si>
  <si>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</si>
  <si>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</si>
  <si>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</si>
  <si>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</si>
  <si>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</si>
  <si>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</si>
  <si>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</si>
  <si>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</si>
  <si>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</si>
  <si>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</si>
  <si>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</si>
  <si>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</si>
  <si>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</si>
  <si>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</si>
  <si>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</si>
  <si>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</si>
  <si>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</si>
  <si>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</si>
  <si>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</si>
  <si>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</si>
  <si>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</si>
  <si>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</si>
  <si>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</si>
  <si>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</si>
  <si>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</si>
  <si>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</si>
  <si>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</si>
  <si>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</si>
  <si>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</si>
  <si>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</si>
  <si>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</si>
  <si>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</si>
  <si>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</si>
  <si>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</si>
  <si>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</si>
  <si>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</si>
  <si>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</si>
  <si>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</si>
  <si>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30-60 minute easy run.</t>
  </si>
  <si>
    <t>Standard hudle mobility drills.</t>
  </si>
  <si>
    <t>Hill Sprints</t>
  </si>
  <si>
    <t>6x 10-15 second hill sprints. Full recovery. Hill should be a little steeper. No longer than 15 seconds. You should just be starting to feel tired when you stop. You want full engagement of your muscles. It's important that we get these in. These are the hill work we do now.</t>
  </si>
  <si>
    <t>Hip Flexor Band Work</t>
  </si>
  <si>
    <t>10-20 reps each side</t>
  </si>
  <si>
    <t>https://www.youtube.com/watch?v=LeBOkz-3vtQ</t>
  </si>
  <si>
    <t>4-6x 100M…these are like Tueller's 4x100s…take them nice and easy.</t>
  </si>
  <si>
    <t>Pre-Race 200M Gear Changes</t>
  </si>
  <si>
    <t>Pre-Race 100M Step Downs</t>
  </si>
  <si>
    <t>Gentle 4x100Ms to flush out the legs.</t>
  </si>
  <si>
    <t>5-10x 3' @ Threshold, 60 second standing recovery in between reps.</t>
  </si>
  <si>
    <t>Short 800-1200M easy warm up</t>
  </si>
  <si>
    <t>Choose 5 dyamic drills and complete. End with leg swings</t>
  </si>
  <si>
    <t>2x 100M strides. Relaxed with good form.</t>
  </si>
  <si>
    <t>Change into spikes for 30M flys</t>
  </si>
  <si>
    <t>4x 30M flys, 100% relaxed effort with sprint form</t>
  </si>
  <si>
    <t>Full recovery from flys prior to start of workout</t>
  </si>
  <si>
    <t>Full recovery and change into trainers/workout shoes for SubT</t>
  </si>
  <si>
    <t>1 mile at SubT</t>
  </si>
  <si>
    <t>Standard hurdle mobility routine</t>
  </si>
  <si>
    <t>2-3x (3x 300M, 60 seconds standing rest), 5-7 minute rest between sets. First 300M of each set at 1600M effort, second at 800M effort, and third at 1600M effort.</t>
  </si>
  <si>
    <t>30-60 minute recovery run</t>
  </si>
  <si>
    <t>45-90 minute long run</t>
  </si>
  <si>
    <t>4x 100M gentle strides to liven up the legs</t>
  </si>
  <si>
    <t>Gentle static stretching (5 minutes)</t>
  </si>
  <si>
    <t>15-20 minute extended cooldown</t>
  </si>
  <si>
    <t>This training is for Aaron, Nate, Jeffrey, Michael, and Mason, who will not be racing this week. Let's focus on getting in some quality sessions. We don't have many more uninterrupted weeks. Easy doubles as necessary to hit weekly mileage.</t>
  </si>
  <si>
    <t xml:space="preserve">Single Leg Pogo Hops </t>
  </si>
  <si>
    <t>10-15 reps each side</t>
  </si>
  <si>
    <t>Lower Body E</t>
  </si>
  <si>
    <t>Jump Lunges</t>
  </si>
  <si>
    <t>10 reps each side</t>
  </si>
  <si>
    <t>https://www.youtube.com/watch?v=kq3eB5KVcNk</t>
  </si>
  <si>
    <t>https://www.youtube.com/watch?v=U12iOibPX98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</si>
</sst>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10" dataDxfId="1109">
  <autoFilter ref="A1:E44"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J9" sqref="J9"/>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23 minutes</v>
      </c>
      <c r="C2" s="49" t="str">
        <f>P2&amp;" hours "&amp;ROUND((P3-P2)*(60),2)&amp; " minutes"</f>
        <v>6 hours 21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25.65 miles</v>
      </c>
      <c r="C3" s="23" t="str">
        <f>(Monday!$R$10+Tuesday!$R$10+Wednesday!$R$10+Thursday!$R$10+Friday!$R$10+Saturday!$R$10)&amp;" miles"</f>
        <v>55.05 miles</v>
      </c>
      <c r="H3" s="6" t="s">
        <v>59</v>
      </c>
      <c r="I3" s="6" t="s">
        <v>95</v>
      </c>
      <c r="J3" s="6" t="s">
        <v>8</v>
      </c>
      <c r="K3" s="6"/>
      <c r="O3" s="2">
        <f>(Monday!$M$10+Tuesday!$M$10+Wednesday!$M$10+Thursday!$M$10+Friday!$M$10+Saturday!$M$10)/(60)</f>
        <v>3.3833333333333333</v>
      </c>
      <c r="P3" s="2">
        <f>(Monday!$N$10+Tuesday!$N$10+Wednesday!$N$10+Thursday!$N$10+Friday!$N$10+Saturday!$N$10)/(60)</f>
        <v>6.35</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93</v>
      </c>
      <c r="J5" s="6"/>
      <c r="K5" s="6" t="s">
        <v>5</v>
      </c>
    </row>
    <row r="6" spans="1:16" ht="22" customHeight="1">
      <c r="A6" s="54" t="s">
        <v>17</v>
      </c>
      <c r="B6" s="55">
        <f>TIME(,(Monday!M4+Tuesday!M4+Wednesday!M4+Thursday!M4+Friday!M4+Saturday!M4),)</f>
        <v>0.11041666666666666</v>
      </c>
      <c r="C6" s="55">
        <f>TIME(,(Monday!N4+Tuesday!N4+Wednesday!N4+Thursday!N4+Friday!N4+Saturday!N4),)</f>
        <v>0.21875</v>
      </c>
      <c r="D6" s="56">
        <f t="shared" ref="D6:D11" si="0">(B6/SUM($B$6:$B$11))</f>
        <v>0.78325123152709353</v>
      </c>
      <c r="E6" s="56">
        <f>(C6/SUM($C$6:$C$11))</f>
        <v>0.82677165354330706</v>
      </c>
      <c r="F6" s="56">
        <f>(D6+E6)/2</f>
        <v>0.80501144253520029</v>
      </c>
      <c r="H6" s="6" t="s">
        <v>75</v>
      </c>
      <c r="I6" s="6" t="s">
        <v>95</v>
      </c>
      <c r="J6" s="6" t="s">
        <v>7</v>
      </c>
      <c r="K6" s="6"/>
    </row>
    <row r="7" spans="1:16" ht="22" customHeight="1">
      <c r="A7" s="29" t="s">
        <v>34</v>
      </c>
      <c r="B7" s="57">
        <f>TIME(,(Monday!M5+Tuesday!M5+Wednesday!M5+Thursday!M5+Friday!M5+Saturday!M5),)</f>
        <v>8.3333333333333332E-3</v>
      </c>
      <c r="C7" s="57">
        <f>TIME(,(Monday!N5+Tuesday!N5+Wednesday!N5+Thursday!N5+Friday!N5+Saturday!N5),)</f>
        <v>8.3333333333333332E-3</v>
      </c>
      <c r="D7" s="58">
        <f t="shared" si="0"/>
        <v>5.9113300492610835E-2</v>
      </c>
      <c r="E7" s="58">
        <f t="shared" ref="E7:E11" si="1">(C7/SUM($C$6:$C$11))</f>
        <v>3.1496062992125984E-2</v>
      </c>
      <c r="F7" s="58">
        <f t="shared" ref="F7:F11" si="2">(D7+E7)/2</f>
        <v>4.5304681742368409E-2</v>
      </c>
      <c r="H7" s="6" t="s">
        <v>76</v>
      </c>
      <c r="I7" s="6" t="s">
        <v>93</v>
      </c>
      <c r="J7" s="6"/>
      <c r="K7" s="6" t="s">
        <v>6</v>
      </c>
    </row>
    <row r="8" spans="1:16" ht="22" customHeight="1">
      <c r="A8" s="59" t="s">
        <v>22</v>
      </c>
      <c r="B8" s="60">
        <f>TIME(,(Monday!M6+Tuesday!M6+Wednesday!M6+Thursday!M6+Friday!M6+Saturday!M6),)</f>
        <v>1.4583333333333334E-2</v>
      </c>
      <c r="C8" s="60">
        <f>TIME(,(Monday!N6+Tuesday!N6+Wednesday!N6+Thursday!N6+Friday!N6+Saturday!N6),)</f>
        <v>2.5694444444444443E-2</v>
      </c>
      <c r="D8" s="61">
        <f t="shared" si="0"/>
        <v>0.10344827586206896</v>
      </c>
      <c r="E8" s="61">
        <f t="shared" si="1"/>
        <v>9.711286089238845E-2</v>
      </c>
      <c r="F8" s="61">
        <f t="shared" si="2"/>
        <v>0.10028056837722871</v>
      </c>
      <c r="H8" s="6" t="s">
        <v>79</v>
      </c>
      <c r="I8" s="6" t="str">
        <f>Saturday!C1</f>
        <v>Long Run</v>
      </c>
      <c r="J8" s="6" t="s">
        <v>120</v>
      </c>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5.5555555555555558E-3</v>
      </c>
      <c r="C10" s="67">
        <f>TIME(,(Monday!N8+Tuesday!N8+Wednesday!N8+Thursday!N8+Friday!N8+Saturday!N8),)</f>
        <v>9.7222222222222224E-3</v>
      </c>
      <c r="D10" s="68">
        <f t="shared" si="0"/>
        <v>3.9408866995073892E-2</v>
      </c>
      <c r="E10" s="68">
        <f t="shared" si="1"/>
        <v>3.6745406824146981E-2</v>
      </c>
      <c r="F10" s="68">
        <f t="shared" si="2"/>
        <v>3.807713690961044E-2</v>
      </c>
    </row>
    <row r="11" spans="1:16" ht="22" customHeight="1">
      <c r="A11" s="69" t="s">
        <v>3</v>
      </c>
      <c r="B11" s="71">
        <f>TIME(,(Monday!M9+Tuesday!M9+Wednesday!M9+Thursday!M9+Friday!M9+Saturday!M9),)</f>
        <v>2.0833333333333333E-3</v>
      </c>
      <c r="C11" s="71">
        <f>TIME(,(Monday!N9+Tuesday!N9+Wednesday!N9+Thursday!N9+Friday!N9+Saturday!N9),)</f>
        <v>2.0833333333333333E-3</v>
      </c>
      <c r="D11" s="70">
        <f t="shared" si="0"/>
        <v>1.4778325123152709E-2</v>
      </c>
      <c r="E11" s="70">
        <f t="shared" si="1"/>
        <v>7.874015748031496E-3</v>
      </c>
      <c r="F11" s="70">
        <f t="shared" si="2"/>
        <v>1.1326170435592102E-2</v>
      </c>
      <c r="H11" s="81" t="s">
        <v>156</v>
      </c>
      <c r="I11" s="81"/>
      <c r="J11" s="81"/>
      <c r="K11" s="81"/>
    </row>
    <row r="12" spans="1:16" ht="22" customHeight="1">
      <c r="H12" s="80" t="s">
        <v>215</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18.850000000000001</v>
      </c>
      <c r="C14" s="28">
        <f>Monday!R4+Tuesday!R4+Wednesday!R4+Thursday!R4+Friday!R4+Saturday!R4</f>
        <v>44.3</v>
      </c>
      <c r="D14" s="56">
        <f>B14/(SUM($B$14:$B$19))</f>
        <v>0.73489278752436649</v>
      </c>
      <c r="E14" s="56">
        <f>C14/(SUM($C$14:$C$19))</f>
        <v>0.80472297910990009</v>
      </c>
      <c r="F14" s="56">
        <f t="shared" ref="F14:F19" si="3">(D14+E14)/2</f>
        <v>0.76980788331713335</v>
      </c>
      <c r="H14" s="80"/>
      <c r="I14" s="80"/>
      <c r="J14" s="80"/>
      <c r="K14" s="80"/>
    </row>
    <row r="15" spans="1:16" ht="22" customHeight="1">
      <c r="A15" s="29" t="s">
        <v>34</v>
      </c>
      <c r="B15" s="30">
        <f>Monday!Q5+Tuesday!Q5+Wednesday!Q5+Thursday!Q5+Friday!Q5+Saturday!Q5</f>
        <v>1.6</v>
      </c>
      <c r="C15" s="30">
        <f>Monday!R5+Tuesday!R5+Wednesday!R5+Thursday!R5+Friday!R5+Saturday!R5</f>
        <v>1.7999999999999998</v>
      </c>
      <c r="D15" s="58">
        <f t="shared" ref="D15:D19" si="4">B15/(SUM($B$14:$B$19))</f>
        <v>6.2378167641325533E-2</v>
      </c>
      <c r="E15" s="58">
        <f t="shared" ref="E15:E19" si="5">C15/(SUM($C$14:$C$19))</f>
        <v>3.2697547683923703E-2</v>
      </c>
      <c r="F15" s="58">
        <f t="shared" si="3"/>
        <v>4.7537857662624618E-2</v>
      </c>
      <c r="H15" s="80"/>
      <c r="I15" s="80"/>
      <c r="J15" s="80"/>
      <c r="K15" s="80"/>
    </row>
    <row r="16" spans="1:16" ht="22" customHeight="1">
      <c r="A16" s="59" t="s">
        <v>22</v>
      </c>
      <c r="B16" s="32">
        <f>Monday!Q6+Tuesday!Q6+Wednesday!Q6+Thursday!Q6+Friday!Q6+Saturday!Q6</f>
        <v>3.4</v>
      </c>
      <c r="C16" s="32">
        <f>Monday!R6+Tuesday!R6+Wednesday!R6+Thursday!R6+Friday!R6+Saturday!R6</f>
        <v>6.5</v>
      </c>
      <c r="D16" s="61">
        <f t="shared" si="4"/>
        <v>0.13255360623781676</v>
      </c>
      <c r="E16" s="61">
        <f t="shared" si="5"/>
        <v>0.11807447774750228</v>
      </c>
      <c r="F16" s="61">
        <f t="shared" si="3"/>
        <v>0.12531404199265953</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1.6</v>
      </c>
      <c r="C18" s="34">
        <f>Monday!R8+Tuesday!R8+Wednesday!R8+Thursday!R8+Friday!R8+Saturday!R8</f>
        <v>2.25</v>
      </c>
      <c r="D18" s="68">
        <f t="shared" si="4"/>
        <v>6.2378167641325533E-2</v>
      </c>
      <c r="E18" s="68">
        <f t="shared" si="5"/>
        <v>4.0871934604904632E-2</v>
      </c>
      <c r="F18" s="68">
        <f t="shared" si="3"/>
        <v>5.1625051123115079E-2</v>
      </c>
      <c r="H18" s="80"/>
      <c r="I18" s="80"/>
      <c r="J18" s="80"/>
      <c r="K18" s="80"/>
    </row>
    <row r="19" spans="1:11" ht="22" customHeight="1">
      <c r="A19" s="69" t="s">
        <v>3</v>
      </c>
      <c r="B19" s="38">
        <f>Monday!Q9+Tuesday!Q9+Wednesday!Q9+Thursday!Q9+Friday!Q9+Saturday!Q9</f>
        <v>0.2</v>
      </c>
      <c r="C19" s="38">
        <f>Monday!R9+Tuesday!R9+Wednesday!R9+Thursday!R9+Friday!R9+Saturday!R9</f>
        <v>0.2</v>
      </c>
      <c r="D19" s="70">
        <f t="shared" si="4"/>
        <v>7.7972709551656916E-3</v>
      </c>
      <c r="E19" s="70">
        <f t="shared" si="5"/>
        <v>3.6330608537693009E-3</v>
      </c>
      <c r="F19" s="70">
        <f t="shared" si="3"/>
        <v>5.715165904467496E-3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E11" sqref="E11:F11"/>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45726</v>
      </c>
      <c r="C1" s="20" t="s">
        <v>95</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3" t="s">
        <v>178</v>
      </c>
      <c r="F4" s="83"/>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0.29411764705882354</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0.26190476190476192</v>
      </c>
      <c r="T4" s="39">
        <f>R4/$R$10</f>
        <v>0.30386740331491718</v>
      </c>
    </row>
    <row r="5" spans="1:20" s="2" customFormat="1" ht="50" customHeight="1">
      <c r="A5" s="6" t="s">
        <v>19</v>
      </c>
      <c r="B5" s="6" t="str">
        <f>_xlfn.XLOOKUP(A5,TrainingTable[Training Component],TrainingTable[Category of Training Stimulus],"")</f>
        <v>Stretching and Mobility</v>
      </c>
      <c r="C5" s="6" t="s">
        <v>55</v>
      </c>
      <c r="D5" s="6" t="s">
        <v>67</v>
      </c>
      <c r="E5" s="83" t="s">
        <v>179</v>
      </c>
      <c r="F5" s="83"/>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0.14705882352941177</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4.7619047619047616E-2</v>
      </c>
      <c r="T5" s="40">
        <f t="shared" ref="T5:T10" si="3">R5/$R$10</f>
        <v>2.2099447513812157E-2</v>
      </c>
    </row>
    <row r="6" spans="1:20" s="2" customFormat="1" ht="50" customHeight="1">
      <c r="A6" s="6" t="s">
        <v>43</v>
      </c>
      <c r="B6" s="6" t="str">
        <f>_xlfn.XLOOKUP(A6,TrainingTable[Training Component],TrainingTable[Category of Training Stimulus],"")</f>
        <v>Turnover and Pace Work</v>
      </c>
      <c r="C6" s="6" t="s">
        <v>55</v>
      </c>
      <c r="D6" s="6" t="s">
        <v>64</v>
      </c>
      <c r="E6" s="83" t="s">
        <v>180</v>
      </c>
      <c r="F6" s="83"/>
      <c r="G6" s="23">
        <v>5</v>
      </c>
      <c r="H6" s="23">
        <v>5</v>
      </c>
      <c r="I6" s="23">
        <v>0.2</v>
      </c>
      <c r="J6" s="23">
        <v>0.2</v>
      </c>
      <c r="L6" s="31" t="s">
        <v>22</v>
      </c>
      <c r="M6" s="32">
        <f>SUMIF(Monday_Training_Category,"Threshold",Monday_Training_Time_Lower)</f>
        <v>15</v>
      </c>
      <c r="N6" s="32">
        <f>SUMIF(Monday_Training_Category,"Threshold",Monday_Training_Time_Upper)</f>
        <v>30</v>
      </c>
      <c r="O6" s="41">
        <f t="shared" si="0"/>
        <v>0.44117647058823528</v>
      </c>
      <c r="P6" s="41">
        <f t="shared" si="1"/>
        <v>0.4838709677419355</v>
      </c>
      <c r="Q6" s="32">
        <f>SUMIF(Monday_Training_Category,"Threshold",Monday_Training_Distance_Lower)</f>
        <v>2.4</v>
      </c>
      <c r="R6" s="32">
        <f>SUMIF(Monday_Training_Category,"Threshold",Monday_Training_Distance_Upper)</f>
        <v>5.5</v>
      </c>
      <c r="S6" s="41">
        <f t="shared" si="2"/>
        <v>0.5714285714285714</v>
      </c>
      <c r="T6" s="41">
        <f t="shared" si="3"/>
        <v>0.60773480662983437</v>
      </c>
    </row>
    <row r="7" spans="1:20" s="2" customFormat="1" ht="50" customHeight="1">
      <c r="A7" s="6" t="s">
        <v>49</v>
      </c>
      <c r="B7" s="6" t="str">
        <f>_xlfn.XLOOKUP(A7,TrainingTable[Training Component],TrainingTable[Category of Training Stimulus],"")</f>
        <v>Recovery</v>
      </c>
      <c r="C7" s="6" t="s">
        <v>57</v>
      </c>
      <c r="D7" s="6" t="s">
        <v>57</v>
      </c>
      <c r="E7" s="83" t="s">
        <v>181</v>
      </c>
      <c r="F7" s="83"/>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3" t="s">
        <v>182</v>
      </c>
      <c r="F8" s="83"/>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5.8823529411764705E-2</v>
      </c>
      <c r="P8" s="43">
        <f t="shared" si="1"/>
        <v>3.2258064516129031E-2</v>
      </c>
      <c r="Q8" s="34">
        <f>SUMIF(Monday_Training_Category,"Lactate Tolerance",Monday_Training_Distance_Lower)</f>
        <v>0.4</v>
      </c>
      <c r="R8" s="34">
        <f>SUMIF(Monday_Training_Category,"Lactate Tolerance",Monday_Training_Distance_Upper)</f>
        <v>0.5</v>
      </c>
      <c r="S8" s="43">
        <f t="shared" si="2"/>
        <v>9.5238095238095233E-2</v>
      </c>
      <c r="T8" s="43">
        <f t="shared" si="3"/>
        <v>5.5248618784530391E-2</v>
      </c>
    </row>
    <row r="9" spans="1:20" s="2" customFormat="1" ht="50" customHeight="1">
      <c r="A9" s="6" t="s">
        <v>49</v>
      </c>
      <c r="B9" s="6" t="str">
        <f>_xlfn.XLOOKUP(A9,TrainingTable[Training Component],TrainingTable[Category of Training Stimulus],"")</f>
        <v>Recovery</v>
      </c>
      <c r="C9" s="6" t="s">
        <v>57</v>
      </c>
      <c r="D9" s="6" t="s">
        <v>57</v>
      </c>
      <c r="E9" s="83" t="s">
        <v>183</v>
      </c>
      <c r="F9" s="83"/>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5.8823529411764705E-2</v>
      </c>
      <c r="P9" s="44">
        <f t="shared" si="1"/>
        <v>3.2258064516129031E-2</v>
      </c>
      <c r="Q9" s="38">
        <f>SUMIF(Monday_Training_Category,"Speed Development",Monday_Training_Distance_Lower)</f>
        <v>0.1</v>
      </c>
      <c r="R9" s="38">
        <f>SUMIF(Monday_Training_Category,"Speed Development",Monday_Training_Distance_Upper)</f>
        <v>0.1</v>
      </c>
      <c r="S9" s="44">
        <f t="shared" si="2"/>
        <v>2.3809523809523808E-2</v>
      </c>
      <c r="T9" s="44">
        <f t="shared" si="3"/>
        <v>1.1049723756906079E-2</v>
      </c>
    </row>
    <row r="10" spans="1:20" s="2" customFormat="1" ht="50" customHeight="1">
      <c r="A10" s="6" t="s">
        <v>23</v>
      </c>
      <c r="B10" s="6" t="str">
        <f>_xlfn.XLOOKUP(A10,TrainingTable[Training Component],TrainingTable[Category of Training Stimulus],"")</f>
        <v>Threshold</v>
      </c>
      <c r="C10" s="6" t="s">
        <v>58</v>
      </c>
      <c r="D10" s="6" t="s">
        <v>64</v>
      </c>
      <c r="E10" s="83" t="s">
        <v>199</v>
      </c>
      <c r="F10" s="83"/>
      <c r="G10" s="23">
        <v>15</v>
      </c>
      <c r="H10" s="23">
        <v>30</v>
      </c>
      <c r="I10" s="23">
        <v>2.4</v>
      </c>
      <c r="J10" s="23">
        <v>5.5</v>
      </c>
      <c r="L10" s="46" t="s">
        <v>72</v>
      </c>
      <c r="M10" s="23">
        <f>SUM(M4:M9)</f>
        <v>34</v>
      </c>
      <c r="N10" s="23">
        <f>SUM(N4:N9)</f>
        <v>62</v>
      </c>
      <c r="O10" s="47">
        <f>M10/M10</f>
        <v>1</v>
      </c>
      <c r="P10" s="45">
        <f t="shared" si="1"/>
        <v>1</v>
      </c>
      <c r="Q10" s="23">
        <f>SUM(Q4:Q9)</f>
        <v>4.2</v>
      </c>
      <c r="R10" s="23">
        <f>SUM(R4:R9)</f>
        <v>9.0499999999999989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3" t="s">
        <v>184</v>
      </c>
      <c r="F11" s="83"/>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3" t="s">
        <v>185</v>
      </c>
      <c r="F12" s="83"/>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3" t="s">
        <v>186</v>
      </c>
      <c r="F13" s="83"/>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3" t="s">
        <v>177</v>
      </c>
      <c r="F14" s="83"/>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3" t="s">
        <v>187</v>
      </c>
      <c r="F15" s="83"/>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G6" sqref="G6"/>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45727</v>
      </c>
      <c r="C1" s="20" t="s">
        <v>97</v>
      </c>
      <c r="D1" s="20" t="s">
        <v>171</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0.9375</v>
      </c>
      <c r="T4" s="39">
        <f>R4/$R$10</f>
        <v>0.95238095238095233</v>
      </c>
    </row>
    <row r="5" spans="1:20" ht="50" customHeight="1">
      <c r="A5" s="6" t="s">
        <v>42</v>
      </c>
      <c r="B5" s="6" t="str">
        <f>_xlfn.XLOOKUP(A5,TrainingTable[Training Component],TrainingTable[Category of Training Stimulus],"")</f>
        <v>Turnover and Pace Work</v>
      </c>
      <c r="C5" s="6" t="s">
        <v>55</v>
      </c>
      <c r="D5" s="6" t="s">
        <v>64</v>
      </c>
      <c r="E5" s="83" t="s">
        <v>195</v>
      </c>
      <c r="F5" s="83"/>
      <c r="G5" s="23">
        <v>2</v>
      </c>
      <c r="H5" s="23">
        <v>2</v>
      </c>
      <c r="I5" s="23">
        <v>0.2</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0.2</v>
      </c>
      <c r="R5" s="30">
        <f>SUMIF($B$4:$B$26,"Turnover and Pace Work",J4:J26)</f>
        <v>0.4</v>
      </c>
      <c r="S5" s="40">
        <f t="shared" ref="S5:S10" si="2">Q5/$Q$10</f>
        <v>6.25E-2</v>
      </c>
      <c r="T5" s="40">
        <f t="shared" ref="T5:T10" si="3">R5/$R$10</f>
        <v>4.7619047619047616E-2</v>
      </c>
    </row>
    <row r="6" spans="1:20" ht="50" customHeight="1">
      <c r="A6" s="6" t="s">
        <v>21</v>
      </c>
      <c r="B6" s="6" t="str">
        <f>_xlfn.XLOOKUP(A6,TrainingTable[Training Component],TrainingTable[Category of Training Stimulus],"")</f>
        <v>Stretching and Mobility</v>
      </c>
      <c r="C6" s="6" t="s">
        <v>55</v>
      </c>
      <c r="D6" s="6" t="s">
        <v>64</v>
      </c>
      <c r="E6" s="83" t="s">
        <v>189</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62</v>
      </c>
      <c r="O10" s="47">
        <f>M10/M10</f>
        <v>1</v>
      </c>
      <c r="P10" s="45">
        <f t="shared" si="1"/>
        <v>1</v>
      </c>
      <c r="Q10" s="23">
        <f>SUM(Q4:Q9)</f>
        <v>3.2</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B2" sqref="B2:B3"/>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45728</v>
      </c>
      <c r="C1" s="20" t="s">
        <v>93</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0.95238095238095233</v>
      </c>
    </row>
    <row r="5" spans="1:20" ht="50" customHeight="1">
      <c r="A5" s="6" t="s">
        <v>190</v>
      </c>
      <c r="B5" s="6" t="str">
        <f>_xlfn.XLOOKUP(A5,TrainingTable[Training Component],TrainingTable[Category of Training Stimulus],"")</f>
        <v>Turnover and Pace Work</v>
      </c>
      <c r="C5" s="6" t="s">
        <v>55</v>
      </c>
      <c r="D5" s="6" t="s">
        <v>57</v>
      </c>
      <c r="E5" s="83" t="s">
        <v>191</v>
      </c>
      <c r="F5" s="83"/>
      <c r="G5" s="23">
        <v>2</v>
      </c>
      <c r="H5" s="23">
        <v>2</v>
      </c>
      <c r="I5" s="23">
        <v>0.4</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0.4</v>
      </c>
      <c r="S5" s="40">
        <f t="shared" ref="S5:S10" si="2">Q5/$Q$10</f>
        <v>0.11764705882352942</v>
      </c>
      <c r="T5" s="40">
        <f t="shared" ref="T5:T10" si="3">R5/$R$10</f>
        <v>4.7619047619047616E-2</v>
      </c>
    </row>
    <row r="6" spans="1:20" ht="50" customHeight="1">
      <c r="A6" s="6"/>
      <c r="B6" s="6" t="str">
        <f>_xlfn.XLOOKUP(A6,TrainingTable[Training Component],TrainingTable[Category of Training Stimulus],"")</f>
        <v/>
      </c>
      <c r="C6" s="6"/>
      <c r="D6" s="6"/>
      <c r="E6" s="83"/>
      <c r="F6" s="83"/>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62</v>
      </c>
      <c r="O10" s="47">
        <f>M10/M10</f>
        <v>1</v>
      </c>
      <c r="P10" s="45">
        <f t="shared" si="1"/>
        <v>1</v>
      </c>
      <c r="Q10" s="23">
        <f>SUM(Q4:Q9)</f>
        <v>3.4</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I15" sqref="I15"/>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45729</v>
      </c>
      <c r="C1" s="20" t="s">
        <v>95</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200</v>
      </c>
      <c r="F4" s="83"/>
      <c r="G4" s="23">
        <v>4</v>
      </c>
      <c r="H4" s="23">
        <v>7</v>
      </c>
      <c r="I4" s="23">
        <v>0.5</v>
      </c>
      <c r="J4" s="23">
        <v>0.75</v>
      </c>
      <c r="K4" s="2"/>
      <c r="L4" s="27" t="s">
        <v>69</v>
      </c>
      <c r="M4" s="28">
        <f>SUMIF($B$4:$B$26,"Aerobic Running",G4:G26)</f>
        <v>14</v>
      </c>
      <c r="N4" s="28">
        <f>SUMIF($B$4:$B$26,"Aerobic Running",H4:H26)</f>
        <v>22</v>
      </c>
      <c r="O4" s="39">
        <f t="shared" ref="O4:O9" si="0">M4/$M$10</f>
        <v>0.5</v>
      </c>
      <c r="P4" s="39">
        <f t="shared" ref="P4:P10" si="1">N4/$N$10</f>
        <v>0.51162790697674421</v>
      </c>
      <c r="Q4" s="28">
        <f>SUMIF($B$4:$B$26,"Aerobic Running",I4:I26)</f>
        <v>2.25</v>
      </c>
      <c r="R4" s="28">
        <f>SUMIF($B$4:$B$26,"Aerobic Running",J4:J26)</f>
        <v>3.55</v>
      </c>
      <c r="S4" s="39">
        <f>Q4/$Q$10</f>
        <v>0.47368421052631576</v>
      </c>
      <c r="T4" s="39">
        <f>R4/$R$10</f>
        <v>0.53787878787878785</v>
      </c>
    </row>
    <row r="5" spans="1:20" ht="50" customHeight="1">
      <c r="A5" s="6" t="s">
        <v>19</v>
      </c>
      <c r="B5" s="6" t="str">
        <f>_xlfn.XLOOKUP(A5,TrainingTable[Training Component],TrainingTable[Category of Training Stimulus],"")</f>
        <v>Stretching and Mobility</v>
      </c>
      <c r="C5" s="6" t="s">
        <v>55</v>
      </c>
      <c r="D5" s="6" t="s">
        <v>57</v>
      </c>
      <c r="E5" s="83" t="s">
        <v>201</v>
      </c>
      <c r="F5" s="83"/>
      <c r="G5" s="23">
        <v>5</v>
      </c>
      <c r="H5" s="23">
        <v>5</v>
      </c>
      <c r="I5" s="23">
        <v>0.2</v>
      </c>
      <c r="J5" s="23">
        <v>0.2</v>
      </c>
      <c r="K5" s="2"/>
      <c r="L5" s="29" t="s">
        <v>34</v>
      </c>
      <c r="M5" s="30">
        <f>SUMIF($B$4:$B$26,"Turnover and Pace Work",G4:G26)</f>
        <v>1</v>
      </c>
      <c r="N5" s="30">
        <f>SUMIF($B$4:$B$26,"Turnover and Pace Work",H4:H26)</f>
        <v>1</v>
      </c>
      <c r="O5" s="40">
        <f t="shared" si="0"/>
        <v>3.5714285714285712E-2</v>
      </c>
      <c r="P5" s="40">
        <f t="shared" si="1"/>
        <v>2.3255813953488372E-2</v>
      </c>
      <c r="Q5" s="30">
        <f>SUMIF($B$4:$B$26,"Turnover and Pace Work",I4:I26)</f>
        <v>0.2</v>
      </c>
      <c r="R5" s="30">
        <f>SUMIF($B$4:$B$26,"Turnover and Pace Work",J4:J26)</f>
        <v>0.2</v>
      </c>
      <c r="S5" s="40">
        <f t="shared" ref="S5:S10" si="2">Q5/$Q$10</f>
        <v>4.2105263157894736E-2</v>
      </c>
      <c r="T5" s="40">
        <f t="shared" ref="T5:T10" si="3">R5/$R$10</f>
        <v>3.0303030303030307E-2</v>
      </c>
    </row>
    <row r="6" spans="1:20" ht="50" customHeight="1">
      <c r="A6" s="6" t="s">
        <v>43</v>
      </c>
      <c r="B6" s="6" t="str">
        <f>_xlfn.XLOOKUP(A6,TrainingTable[Training Component],TrainingTable[Category of Training Stimulus],"")</f>
        <v>Turnover and Pace Work</v>
      </c>
      <c r="C6" s="6" t="s">
        <v>55</v>
      </c>
      <c r="D6" s="6" t="s">
        <v>64</v>
      </c>
      <c r="E6" s="83" t="s">
        <v>202</v>
      </c>
      <c r="F6" s="83"/>
      <c r="G6" s="23">
        <v>1</v>
      </c>
      <c r="H6" s="23">
        <v>1</v>
      </c>
      <c r="I6" s="23">
        <v>0.2</v>
      </c>
      <c r="J6" s="23">
        <v>0.2</v>
      </c>
      <c r="K6" s="2"/>
      <c r="L6" s="31" t="s">
        <v>22</v>
      </c>
      <c r="M6" s="32">
        <f>SUMIF($B$4:$B$26,"Threshold",G4:G26)</f>
        <v>6</v>
      </c>
      <c r="N6" s="32">
        <f>SUMIF($B$4:$B$26,"Threshold",H4:H26)</f>
        <v>7</v>
      </c>
      <c r="O6" s="41">
        <f t="shared" si="0"/>
        <v>0.21428571428571427</v>
      </c>
      <c r="P6" s="41">
        <f t="shared" si="1"/>
        <v>0.16279069767441862</v>
      </c>
      <c r="Q6" s="32">
        <f>SUMIF($B$4:$B$26,"Threshold",I4:I26)</f>
        <v>1</v>
      </c>
      <c r="R6" s="32">
        <f>SUMIF($B$4:$B$26,"Threshold",J4:J26)</f>
        <v>1</v>
      </c>
      <c r="S6" s="41">
        <f t="shared" si="2"/>
        <v>0.21052631578947367</v>
      </c>
      <c r="T6" s="41">
        <f t="shared" si="3"/>
        <v>0.15151515151515152</v>
      </c>
    </row>
    <row r="7" spans="1:20" ht="50" customHeight="1">
      <c r="A7" s="6" t="s">
        <v>49</v>
      </c>
      <c r="B7" s="6" t="str">
        <f>_xlfn.XLOOKUP(A7,TrainingTable[Training Component],TrainingTable[Category of Training Stimulus],"")</f>
        <v>Recovery</v>
      </c>
      <c r="C7" s="6" t="s">
        <v>57</v>
      </c>
      <c r="D7" s="6" t="s">
        <v>57</v>
      </c>
      <c r="E7" s="83" t="s">
        <v>203</v>
      </c>
      <c r="F7" s="83"/>
      <c r="G7" s="23">
        <v>5</v>
      </c>
      <c r="H7" s="23">
        <v>5</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31</v>
      </c>
      <c r="B8" s="6" t="str">
        <f>_xlfn.XLOOKUP(A8,TrainingTable[Training Component],TrainingTable[Category of Training Stimulus],"")</f>
        <v>Speed Development</v>
      </c>
      <c r="C8" s="6" t="s">
        <v>56</v>
      </c>
      <c r="D8" s="6" t="s">
        <v>64</v>
      </c>
      <c r="E8" s="83" t="s">
        <v>204</v>
      </c>
      <c r="F8" s="83"/>
      <c r="G8" s="23">
        <v>1</v>
      </c>
      <c r="H8" s="23">
        <v>1</v>
      </c>
      <c r="I8" s="23">
        <v>0.1</v>
      </c>
      <c r="J8" s="23">
        <v>0.1</v>
      </c>
      <c r="K8" s="2"/>
      <c r="L8" s="33" t="s">
        <v>2</v>
      </c>
      <c r="M8" s="34">
        <f>SUMIF($B$4:$B$26,"Lactate Tolerance",G4:G26)</f>
        <v>6</v>
      </c>
      <c r="N8" s="34">
        <f>SUMIF($B$4:$B$26,"Lactate Tolerance",H4:H26)</f>
        <v>12</v>
      </c>
      <c r="O8" s="43">
        <f t="shared" si="0"/>
        <v>0.21428571428571427</v>
      </c>
      <c r="P8" s="43">
        <f t="shared" si="1"/>
        <v>0.27906976744186046</v>
      </c>
      <c r="Q8" s="34">
        <f>SUMIF($B$4:$B$26,"Lactate Tolerance",I4:I26)</f>
        <v>1.2</v>
      </c>
      <c r="R8" s="34">
        <f>SUMIF($B$4:$B$26,"Lactate Tolerance",J4:J26)</f>
        <v>1.75</v>
      </c>
      <c r="S8" s="43">
        <f t="shared" si="2"/>
        <v>0.25263157894736843</v>
      </c>
      <c r="T8" s="43">
        <f t="shared" si="3"/>
        <v>0.26515151515151514</v>
      </c>
    </row>
    <row r="9" spans="1:20" ht="50" customHeight="1">
      <c r="A9" s="6" t="s">
        <v>49</v>
      </c>
      <c r="B9" s="6" t="str">
        <f>_xlfn.XLOOKUP(A9,TrainingTable[Training Component],TrainingTable[Category of Training Stimulus],"")</f>
        <v>Recovery</v>
      </c>
      <c r="C9" s="6" t="s">
        <v>57</v>
      </c>
      <c r="D9" s="6" t="s">
        <v>57</v>
      </c>
      <c r="E9" s="83" t="s">
        <v>205</v>
      </c>
      <c r="F9" s="83"/>
      <c r="G9" s="23">
        <v>5</v>
      </c>
      <c r="H9" s="23">
        <v>5</v>
      </c>
      <c r="I9" s="23">
        <v>0</v>
      </c>
      <c r="J9" s="23">
        <v>0</v>
      </c>
      <c r="K9" s="2"/>
      <c r="L9" s="37" t="s">
        <v>3</v>
      </c>
      <c r="M9" s="38">
        <f>SUMIF($B$4:$B$26,"Speed Development",G4:G26)</f>
        <v>1</v>
      </c>
      <c r="N9" s="38">
        <f>SUMIF($B$4:$B$26,"Speed Development",H4:H26)</f>
        <v>1</v>
      </c>
      <c r="O9" s="44">
        <f t="shared" si="0"/>
        <v>3.5714285714285712E-2</v>
      </c>
      <c r="P9" s="44">
        <f t="shared" si="1"/>
        <v>2.3255813953488372E-2</v>
      </c>
      <c r="Q9" s="38">
        <f>SUMIF($B$4:$B$26,"Speed Development",I4:I26)</f>
        <v>0.1</v>
      </c>
      <c r="R9" s="38">
        <f>SUMIF($B$4:$B$26,"Speed Development",J4:J26)</f>
        <v>0.1</v>
      </c>
      <c r="S9" s="44">
        <f t="shared" si="2"/>
        <v>2.1052631578947368E-2</v>
      </c>
      <c r="T9" s="44">
        <f t="shared" si="3"/>
        <v>1.5151515151515154E-2</v>
      </c>
    </row>
    <row r="10" spans="1:20" ht="50" customHeight="1">
      <c r="A10" s="6" t="s">
        <v>28</v>
      </c>
      <c r="B10" s="6" t="str">
        <f>_xlfn.XLOOKUP(A10,TrainingTable[Training Component],TrainingTable[Category of Training Stimulus],"")</f>
        <v>Lactate Tolerance</v>
      </c>
      <c r="C10" s="6" t="s">
        <v>56</v>
      </c>
      <c r="D10" s="6" t="s">
        <v>64</v>
      </c>
      <c r="E10" s="93" t="s">
        <v>209</v>
      </c>
      <c r="F10" s="94"/>
      <c r="G10" s="23">
        <v>6</v>
      </c>
      <c r="H10" s="23">
        <v>12</v>
      </c>
      <c r="I10" s="23">
        <v>1.2</v>
      </c>
      <c r="J10" s="23">
        <v>1.75</v>
      </c>
      <c r="K10" s="2"/>
      <c r="L10" s="46" t="s">
        <v>72</v>
      </c>
      <c r="M10" s="23">
        <f>SUM(M4:M9)</f>
        <v>28</v>
      </c>
      <c r="N10" s="23">
        <f>SUM(N4:N9)</f>
        <v>43</v>
      </c>
      <c r="O10" s="47">
        <f>M10/M10</f>
        <v>1</v>
      </c>
      <c r="P10" s="45">
        <f t="shared" si="1"/>
        <v>1</v>
      </c>
      <c r="Q10" s="23">
        <f>SUM(Q4:Q9)</f>
        <v>4.75</v>
      </c>
      <c r="R10" s="23">
        <f>SUM(R4:R9)</f>
        <v>6.6</v>
      </c>
      <c r="S10" s="47">
        <f t="shared" si="2"/>
        <v>1</v>
      </c>
      <c r="T10" s="47">
        <f t="shared" si="3"/>
        <v>1</v>
      </c>
    </row>
    <row r="11" spans="1:20" ht="50" customHeight="1">
      <c r="A11" s="6" t="s">
        <v>49</v>
      </c>
      <c r="B11" s="6" t="str">
        <f>_xlfn.XLOOKUP(A11,TrainingTable[Training Component],TrainingTable[Category of Training Stimulus],"")</f>
        <v>Recovery</v>
      </c>
      <c r="C11" s="6" t="s">
        <v>57</v>
      </c>
      <c r="D11" s="6" t="s">
        <v>57</v>
      </c>
      <c r="E11" s="83" t="s">
        <v>206</v>
      </c>
      <c r="F11" s="83"/>
      <c r="G11" s="23">
        <v>5</v>
      </c>
      <c r="H11" s="23">
        <v>5</v>
      </c>
      <c r="I11" s="23">
        <v>0</v>
      </c>
      <c r="J11" s="23">
        <v>0</v>
      </c>
      <c r="K11" s="2"/>
      <c r="L11" s="24"/>
      <c r="M11" s="16"/>
      <c r="N11" s="16"/>
      <c r="O11" s="16"/>
      <c r="P11" s="16"/>
      <c r="Q11" s="16"/>
      <c r="R11" s="2"/>
      <c r="S11" s="16"/>
      <c r="T11" s="16"/>
    </row>
    <row r="12" spans="1:20" ht="50" customHeight="1">
      <c r="A12" s="6" t="s">
        <v>24</v>
      </c>
      <c r="B12" s="6" t="str">
        <f>_xlfn.XLOOKUP(A12,TrainingTable[Training Component],TrainingTable[Category of Training Stimulus],"")</f>
        <v>Threshold</v>
      </c>
      <c r="C12" s="6" t="s">
        <v>55</v>
      </c>
      <c r="D12" s="6" t="s">
        <v>64</v>
      </c>
      <c r="E12" s="83" t="s">
        <v>207</v>
      </c>
      <c r="F12" s="83"/>
      <c r="G12" s="23">
        <v>6</v>
      </c>
      <c r="H12" s="23">
        <v>7</v>
      </c>
      <c r="I12" s="23">
        <v>1</v>
      </c>
      <c r="J12" s="23">
        <v>1</v>
      </c>
      <c r="K12" s="2"/>
      <c r="L12" s="24"/>
      <c r="M12" s="16"/>
      <c r="N12" s="16"/>
      <c r="O12" s="16"/>
      <c r="P12" s="16"/>
      <c r="Q12" s="16"/>
      <c r="R12" s="2"/>
      <c r="S12" s="16"/>
      <c r="T12" s="16"/>
    </row>
    <row r="13" spans="1:20" ht="50" customHeight="1">
      <c r="A13" s="6" t="s">
        <v>14</v>
      </c>
      <c r="B13" s="6" t="str">
        <f>_xlfn.XLOOKUP(A13,TrainingTable[Training Component],TrainingTable[Category of Training Stimulus],"")</f>
        <v>Aerobic Running</v>
      </c>
      <c r="C13" s="6" t="s">
        <v>55</v>
      </c>
      <c r="D13" s="6" t="s">
        <v>67</v>
      </c>
      <c r="E13" s="83" t="s">
        <v>214</v>
      </c>
      <c r="F13" s="83"/>
      <c r="G13" s="23">
        <v>10</v>
      </c>
      <c r="H13" s="23">
        <v>15</v>
      </c>
      <c r="I13" s="23">
        <v>1.75</v>
      </c>
      <c r="J13" s="23">
        <v>2.8</v>
      </c>
      <c r="K13" s="2"/>
      <c r="L13" s="24"/>
      <c r="M13" s="16"/>
      <c r="N13" s="16"/>
      <c r="O13" s="16"/>
      <c r="P13" s="16"/>
      <c r="Q13" s="16"/>
      <c r="R13" s="2"/>
      <c r="S13" s="16"/>
      <c r="T13" s="16"/>
    </row>
    <row r="14" spans="1:20" ht="50" customHeight="1">
      <c r="A14" s="6" t="s">
        <v>21</v>
      </c>
      <c r="B14" s="6" t="str">
        <f>_xlfn.XLOOKUP(A14,TrainingTable[Training Component],TrainingTable[Category of Training Stimulus],"")</f>
        <v>Stretching and Mobility</v>
      </c>
      <c r="C14" s="6" t="s">
        <v>55</v>
      </c>
      <c r="D14" s="6" t="s">
        <v>57</v>
      </c>
      <c r="E14" s="83" t="s">
        <v>208</v>
      </c>
      <c r="F14" s="83"/>
      <c r="G14" s="23">
        <v>5</v>
      </c>
      <c r="H14" s="23">
        <v>5</v>
      </c>
      <c r="I14" s="23">
        <v>0</v>
      </c>
      <c r="J14" s="23">
        <v>0</v>
      </c>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A7" sqref="A7"/>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45730</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210</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3.5</v>
      </c>
      <c r="R4" s="28">
        <f>SUMIF($B$4:$B$26,"Aerobic Running",J4:J26)</f>
        <v>8</v>
      </c>
      <c r="S4" s="39">
        <f>Q4/$Q$10</f>
        <v>0.94594594594594594</v>
      </c>
      <c r="T4" s="39">
        <f>R4/$R$10</f>
        <v>0.97560975609756106</v>
      </c>
    </row>
    <row r="5" spans="1:20" ht="50" customHeight="1">
      <c r="A5" s="6" t="s">
        <v>42</v>
      </c>
      <c r="B5" s="6" t="str">
        <f>_xlfn.XLOOKUP(A5,TrainingTable[Training Component],TrainingTable[Category of Training Stimulus],"")</f>
        <v>Turnover and Pace Work</v>
      </c>
      <c r="C5" s="6" t="s">
        <v>55</v>
      </c>
      <c r="D5" s="6" t="s">
        <v>67</v>
      </c>
      <c r="E5" s="83" t="s">
        <v>198</v>
      </c>
      <c r="F5" s="83"/>
      <c r="G5" s="23">
        <v>1</v>
      </c>
      <c r="H5" s="23">
        <v>1</v>
      </c>
      <c r="I5" s="23">
        <v>0.2</v>
      </c>
      <c r="J5" s="23">
        <v>0.2</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0.2</v>
      </c>
      <c r="R5" s="30">
        <f>SUMIF($B$4:$B$26,"Turnover and Pace Work",J4:J26)</f>
        <v>0.2</v>
      </c>
      <c r="S5" s="40">
        <f t="shared" ref="S5:S10" si="2">Q5/$Q$10</f>
        <v>5.4054054054054057E-2</v>
      </c>
      <c r="T5" s="40">
        <f t="shared" ref="T5:T10" si="3">R5/$R$10</f>
        <v>2.4390243902439029E-2</v>
      </c>
    </row>
    <row r="6" spans="1:20" ht="50" customHeight="1">
      <c r="A6" s="6" t="s">
        <v>21</v>
      </c>
      <c r="B6" s="6" t="str">
        <f>_xlfn.XLOOKUP(A6,TrainingTable[Training Component],TrainingTable[Category of Training Stimulus],"")</f>
        <v>Stretching and Mobility</v>
      </c>
      <c r="C6" s="6" t="s">
        <v>55</v>
      </c>
      <c r="D6" s="6" t="s">
        <v>64</v>
      </c>
      <c r="E6" s="83" t="s">
        <v>208</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72</v>
      </c>
      <c r="M10" s="23">
        <f>SUM(M4:M9)</f>
        <v>31</v>
      </c>
      <c r="N10" s="23">
        <f>SUM(N4:N9)</f>
        <v>61</v>
      </c>
      <c r="O10" s="47">
        <f>M10/M10</f>
        <v>1</v>
      </c>
      <c r="P10" s="45">
        <f t="shared" si="1"/>
        <v>1</v>
      </c>
      <c r="Q10" s="23">
        <f>SUM(Q4:Q9)</f>
        <v>3.7</v>
      </c>
      <c r="R10" s="23">
        <f>SUM(R4:R9)</f>
        <v>8.1999999999999993</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G10" sqref="G10"/>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45731</v>
      </c>
      <c r="C1" s="20" t="s">
        <v>77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211</v>
      </c>
      <c r="F4" s="83"/>
      <c r="G4" s="23">
        <v>45</v>
      </c>
      <c r="H4" s="23">
        <v>90</v>
      </c>
      <c r="I4" s="23">
        <v>6</v>
      </c>
      <c r="J4" s="23">
        <v>14</v>
      </c>
      <c r="K4" s="2"/>
      <c r="L4" s="27" t="s">
        <v>69</v>
      </c>
      <c r="M4" s="28">
        <f>SUMIF($B$4:$B$26,"Aerobic Running",G4:G26)</f>
        <v>45</v>
      </c>
      <c r="N4" s="28">
        <f>SUMIF($B$4:$B$26,"Aerobic Running",H4:H26)</f>
        <v>90</v>
      </c>
      <c r="O4" s="39">
        <f t="shared" ref="O4:O9" si="0">M4/$M$10</f>
        <v>0.97826086956521741</v>
      </c>
      <c r="P4" s="39">
        <f t="shared" ref="P4:P10" si="1">N4/$N$10</f>
        <v>0.98901098901098905</v>
      </c>
      <c r="Q4" s="28">
        <f>SUMIF($B$4:$B$26,"Aerobic Running",I4:I26)</f>
        <v>6</v>
      </c>
      <c r="R4" s="28">
        <f>SUMIF($B$4:$B$26,"Aerobic Running",J4:J26)</f>
        <v>14</v>
      </c>
      <c r="S4" s="39">
        <f>Q4/$Q$10</f>
        <v>0.9375</v>
      </c>
      <c r="T4" s="39">
        <f>R4/$R$10</f>
        <v>0.97222222222222221</v>
      </c>
    </row>
    <row r="5" spans="1:20" ht="50" customHeight="1">
      <c r="A5" s="6" t="s">
        <v>42</v>
      </c>
      <c r="B5" s="6" t="str">
        <f>_xlfn.XLOOKUP(A5,TrainingTable[Training Component],TrainingTable[Category of Training Stimulus],"")</f>
        <v>Turnover and Pace Work</v>
      </c>
      <c r="C5" s="6" t="s">
        <v>55</v>
      </c>
      <c r="D5" s="6" t="s">
        <v>67</v>
      </c>
      <c r="E5" s="83" t="s">
        <v>212</v>
      </c>
      <c r="F5" s="83"/>
      <c r="G5" s="23">
        <v>1</v>
      </c>
      <c r="H5" s="23">
        <v>1</v>
      </c>
      <c r="I5" s="23">
        <v>0.4</v>
      </c>
      <c r="J5" s="23">
        <v>0.4</v>
      </c>
      <c r="K5" s="2"/>
      <c r="L5" s="29" t="s">
        <v>34</v>
      </c>
      <c r="M5" s="30">
        <f>SUMIF($B$4:$B$26,"Turnover and Pace Work",G4:G26)</f>
        <v>1</v>
      </c>
      <c r="N5" s="30">
        <f>SUMIF($B$4:$B$26,"Turnover and Pace Work",H4:H26)</f>
        <v>1</v>
      </c>
      <c r="O5" s="40">
        <f t="shared" si="0"/>
        <v>2.1739130434782608E-2</v>
      </c>
      <c r="P5" s="40">
        <f t="shared" si="1"/>
        <v>1.098901098901099E-2</v>
      </c>
      <c r="Q5" s="30">
        <f>SUMIF($B$4:$B$26,"Turnover and Pace Work",I4:I26)</f>
        <v>0.4</v>
      </c>
      <c r="R5" s="30">
        <f>SUMIF($B$4:$B$26,"Turnover and Pace Work",J4:J26)</f>
        <v>0.4</v>
      </c>
      <c r="S5" s="40">
        <f t="shared" ref="S5:S10" si="2">Q5/$Q$10</f>
        <v>6.25E-2</v>
      </c>
      <c r="T5" s="40">
        <f t="shared" ref="T5:T10" si="3">R5/$R$10</f>
        <v>2.777777777777778E-2</v>
      </c>
    </row>
    <row r="6" spans="1:20" ht="50" customHeight="1">
      <c r="A6" s="6" t="s">
        <v>20</v>
      </c>
      <c r="B6" s="6" t="str">
        <f>_xlfn.XLOOKUP(A6,TrainingTable[Training Component],TrainingTable[Category of Training Stimulus],"")</f>
        <v>Stretching and Mobility</v>
      </c>
      <c r="C6" s="6" t="s">
        <v>55</v>
      </c>
      <c r="D6" s="6" t="s">
        <v>67</v>
      </c>
      <c r="E6" s="83" t="s">
        <v>213</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46</v>
      </c>
      <c r="N10" s="23">
        <f>SUM(N4:N9)</f>
        <v>91</v>
      </c>
      <c r="O10" s="47">
        <f>M10/M10</f>
        <v>1</v>
      </c>
      <c r="P10" s="45">
        <f t="shared" si="1"/>
        <v>1</v>
      </c>
      <c r="Q10" s="23">
        <f>SUM(Q4:Q9)</f>
        <v>6.4</v>
      </c>
      <c r="R10" s="23">
        <f>SUM(R4:R9)</f>
        <v>14.4</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E10" sqref="E10"/>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120</v>
      </c>
    </row>
    <row r="2" spans="1:5" ht="19" customHeight="1"/>
    <row r="3" spans="1:5" ht="50" customHeight="1">
      <c r="A3" s="51" t="s">
        <v>99</v>
      </c>
      <c r="B3" s="51" t="s">
        <v>100</v>
      </c>
      <c r="C3" s="53" t="s">
        <v>101</v>
      </c>
      <c r="D3" s="53" t="s">
        <v>102</v>
      </c>
      <c r="E3" s="51" t="s">
        <v>13</v>
      </c>
    </row>
    <row r="4" spans="1:5" ht="50" customHeight="1">
      <c r="A4" s="6" t="str" cm="1">
        <f t="array" ref="A4:E10">_xlfn._xlws.FILTER(Strength_Core2[],Strength_Core2[Routine]=B1)</f>
        <v>Dumbbell Squat Jump</v>
      </c>
      <c r="B4" s="6" t="str">
        <v>Lower Body C</v>
      </c>
      <c r="C4" s="23">
        <v>2</v>
      </c>
      <c r="D4" s="23" t="str">
        <v>5</v>
      </c>
      <c r="E4" s="6" t="str">
        <v>https://www.youtube.com/watch?v=-qu2L4S2xtU&amp;pp=ygUTZHVtYmJlbGwganVtcCBzcXVhdA%3D%3D</v>
      </c>
    </row>
    <row r="5" spans="1:5" ht="50" customHeight="1">
      <c r="A5" s="6" t="str">
        <v>Kneeling Snatch to Knee Drive (Barbell or Dumbbells)</v>
      </c>
      <c r="B5" s="6" t="str">
        <v>Lower Body C</v>
      </c>
      <c r="C5" s="23">
        <v>2</v>
      </c>
      <c r="D5" s="23" t="str">
        <v>6-10</v>
      </c>
      <c r="E5" s="6" t="str">
        <v>https://youtube.com/clip/UgkxXrf-8xvEHQDXCNwMGxLAqMspqWVrD82n?si=7HAU8ZTibnLQF8F2</v>
      </c>
    </row>
    <row r="6" spans="1:5" ht="50" customHeight="1">
      <c r="A6" s="6" t="str">
        <v>Standing Broad Jumps</v>
      </c>
      <c r="B6" s="6" t="str">
        <v>Lower Body C</v>
      </c>
      <c r="C6" s="23">
        <v>2</v>
      </c>
      <c r="D6" s="23" t="str">
        <v>5</v>
      </c>
      <c r="E6" s="6">
        <v>0</v>
      </c>
    </row>
    <row r="7" spans="1:5" ht="50" customHeight="1">
      <c r="A7" s="6" t="str">
        <v>Box Jumps</v>
      </c>
      <c r="B7" s="6" t="str">
        <v>Lower Body C</v>
      </c>
      <c r="C7" s="23">
        <v>2</v>
      </c>
      <c r="D7" s="23" t="str">
        <v>8-12</v>
      </c>
      <c r="E7" s="6">
        <v>0</v>
      </c>
    </row>
    <row r="8" spans="1:5" ht="50" customHeight="1">
      <c r="A8" s="6" t="str">
        <v>Hip Flexor Band Work</v>
      </c>
      <c r="B8" s="6" t="str">
        <v>Lower Body C</v>
      </c>
      <c r="C8" s="23">
        <v>2</v>
      </c>
      <c r="D8" s="23" t="str">
        <v>10-20 reps each side</v>
      </c>
      <c r="E8" s="6" t="str">
        <v>https://www.youtube.com/watch?v=LeBOkz-3vtQ</v>
      </c>
    </row>
    <row r="9" spans="1:5" ht="50" customHeight="1">
      <c r="A9" s="6" t="str">
        <v xml:space="preserve">Single Leg Pogo Hops </v>
      </c>
      <c r="B9" s="6" t="str">
        <v>Lower Body C</v>
      </c>
      <c r="C9" s="23">
        <v>2</v>
      </c>
      <c r="D9" s="23" t="str">
        <v>10-15 reps each side</v>
      </c>
      <c r="E9" s="6" t="str">
        <v>https://www.youtube.com/watch?v=U12iOibPX98</v>
      </c>
    </row>
    <row r="10" spans="1:5" ht="50" customHeight="1">
      <c r="A10" s="6" t="str">
        <v>Jump Lunges</v>
      </c>
      <c r="B10" s="6" t="str">
        <v>Lower Body C</v>
      </c>
      <c r="C10" s="23">
        <v>2</v>
      </c>
      <c r="D10" s="23" t="str">
        <v>10 reps each side</v>
      </c>
      <c r="E10" s="6" t="str">
        <v>https://www.youtube.com/watch?v=kq3eB5KVcNk</v>
      </c>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190</v>
      </c>
      <c r="C31" s="14"/>
    </row>
    <row r="32" spans="1:3" ht="25" customHeight="1">
      <c r="A32" s="12" t="s">
        <v>34</v>
      </c>
      <c r="B32" s="13" t="s">
        <v>196</v>
      </c>
      <c r="C32" s="14"/>
    </row>
    <row r="33" spans="1:3" ht="25" customHeight="1">
      <c r="A33" s="12" t="s">
        <v>34</v>
      </c>
      <c r="B33" s="13" t="s">
        <v>197</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218</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192</v>
      </c>
      <c r="B41" s="2" t="s">
        <v>8</v>
      </c>
      <c r="C41" s="16">
        <v>2</v>
      </c>
      <c r="D41" s="73" t="s">
        <v>193</v>
      </c>
      <c r="E41" s="2" t="s">
        <v>194</v>
      </c>
      <c r="F41" s="2"/>
      <c r="G41" s="2"/>
      <c r="H41" s="2"/>
      <c r="I41" s="2"/>
      <c r="J41" s="2"/>
      <c r="K41" s="2"/>
      <c r="L41" s="2"/>
      <c r="M41" s="2"/>
    </row>
    <row r="42" spans="1:13" s="4" customFormat="1" ht="30" customHeight="1">
      <c r="A42" s="2" t="s">
        <v>192</v>
      </c>
      <c r="B42" s="2" t="s">
        <v>120</v>
      </c>
      <c r="C42" s="16">
        <v>2</v>
      </c>
      <c r="D42" s="73" t="s">
        <v>193</v>
      </c>
      <c r="E42" s="2" t="s">
        <v>194</v>
      </c>
      <c r="F42" s="2"/>
      <c r="G42" s="2"/>
      <c r="H42" s="2"/>
      <c r="I42" s="2"/>
      <c r="J42" s="2"/>
      <c r="K42" s="2"/>
      <c r="L42" s="2"/>
      <c r="M42" s="2"/>
    </row>
    <row r="43" spans="1:13" s="4" customFormat="1" ht="30" customHeight="1">
      <c r="A43" s="2" t="s">
        <v>216</v>
      </c>
      <c r="B43" s="2" t="s">
        <v>120</v>
      </c>
      <c r="C43" s="16">
        <v>2</v>
      </c>
      <c r="D43" s="73" t="s">
        <v>217</v>
      </c>
      <c r="E43" s="2" t="s">
        <v>222</v>
      </c>
      <c r="F43" s="2"/>
      <c r="G43" s="2"/>
      <c r="H43" s="2"/>
      <c r="I43" s="2"/>
      <c r="J43" s="2"/>
      <c r="K43" s="2"/>
      <c r="L43" s="2"/>
      <c r="M43" s="2"/>
    </row>
    <row r="44" spans="1:13" s="4" customFormat="1" ht="30" customHeight="1">
      <c r="A44" s="2" t="s">
        <v>219</v>
      </c>
      <c r="B44" s="2" t="s">
        <v>120</v>
      </c>
      <c r="C44" s="16">
        <v>2</v>
      </c>
      <c r="D44" s="73" t="s">
        <v>220</v>
      </c>
      <c r="E44" s="2" t="s">
        <v>221</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2025-03-09T22:04:15Z</dcterms:modified>
</cp:coreProperties>
</file>