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344B7B60-9E6D-E24F-816C-A0D43DE4B8C2}"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A4" i="11" l="1" a="1"/>
  <c r="A4" i="11" s="1"/>
  <c r="E2" i="9" a="1"/>
  <c r="E2" i="9" s="1"/>
  <c r="B26" i="7"/>
  <c r="B25" i="7"/>
  <c r="B24" i="7"/>
  <c r="B23" i="7"/>
  <c r="B22" i="7"/>
  <c r="B21" i="7"/>
  <c r="B20" i="7"/>
  <c r="B19" i="7"/>
  <c r="B18" i="7"/>
  <c r="B17" i="7"/>
  <c r="B16" i="7"/>
  <c r="B15" i="7"/>
  <c r="B14" i="7"/>
  <c r="B13" i="7"/>
  <c r="B12" i="7"/>
  <c r="B11" i="7"/>
  <c r="B10" i="7"/>
  <c r="B9"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<sst xmlns="http://schemas.openxmlformats.org/spreadsheetml/2006/main" count="684" uniqueCount="224">
  <si>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</si>
  <si>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</si>
  <si>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</si>
  <si>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</si>
  <si>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</si>
  <si>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</si>
  <si>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</si>
  <si>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</si>
  <si>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</si>
  <si>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</si>
  <si>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</si>
  <si>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</si>
  <si>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</si>
  <si>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</si>
  <si>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</si>
  <si>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</si>
  <si>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</si>
  <si>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</si>
  <si>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</si>
  <si>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</si>
  <si>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</si>
  <si>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</si>
  <si>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</si>
  <si>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</si>
  <si>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</si>
  <si>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</si>
  <si>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</si>
  <si>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</si>
  <si>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</si>
  <si>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</si>
  <si>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</si>
  <si>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</si>
  <si>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</si>
  <si>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</si>
  <si>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</si>
  <si>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</si>
  <si>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</si>
  <si>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</si>
  <si>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</si>
  <si>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</si>
  <si>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</si>
  <si>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</si>
  <si>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</si>
  <si>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</si>
  <si>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</si>
  <si>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</si>
  <si>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</si>
  <si>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</si>
  <si>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</si>
  <si>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</si>
  <si>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</si>
  <si>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</si>
  <si>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</si>
  <si>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</si>
  <si>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</si>
  <si>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</si>
  <si>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</si>
  <si>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</si>
  <si>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</si>
  <si>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</si>
  <si>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</si>
  <si>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</si>
  <si>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</si>
  <si>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</si>
  <si>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</si>
  <si>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</si>
  <si>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</si>
  <si>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</si>
  <si>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</si>
  <si>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</si>
  <si>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</si>
  <si>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</si>
  <si>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</si>
  <si>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</si>
  <si>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</si>
  <si>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</si>
  <si>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</si>
  <si>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</si>
  <si>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</si>
  <si>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</si>
  <si>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</si>
  <si>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</si>
  <si>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</si>
  <si>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</si>
  <si>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</si>
  <si>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</si>
  <si>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</si>
  <si>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</si>
  <si>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</si>
  <si>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</si>
  <si>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</si>
  <si>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</si>
  <si>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</si>
  <si>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</si>
  <si>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</si>
  <si>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</si>
  <si>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</si>
  <si>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</si>
  <si>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</si>
  <si>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</si>
  <si>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</si>
  <si>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</si>
  <si>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</si>
  <si>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</si>
  <si>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</si>
  <si>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</si>
  <si>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</si>
  <si>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</si>
  <si>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</si>
  <si>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</si>
  <si>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</si>
  <si>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</si>
  <si>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</si>
  <si>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</si>
  <si>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</si>
  <si>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</si>
  <si>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</si>
  <si>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</si>
  <si>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</si>
  <si>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</si>
  <si>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</si>
  <si>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</si>
  <si>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</si>
  <si>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</si>
  <si>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</si>
  <si>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</si>
  <si>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</si>
  <si>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</si>
  <si>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</si>
  <si>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</si>
  <si>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</si>
  <si>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</si>
  <si>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</si>
  <si>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</si>
  <si>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</si>
  <si>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</si>
  <si>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</si>
  <si>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</si>
  <si>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</si>
  <si>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</si>
  <si>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</si>
  <si>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</si>
  <si>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</si>
  <si>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</si>
  <si>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</si>
  <si>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</si>
  <si>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</si>
  <si>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</si>
  <si>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</si>
  <si>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</si>
  <si>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</si>
  <si>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</si>
  <si>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</si>
  <si>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</si>
  <si>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</si>
  <si>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</si>
  <si>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</si>
  <si>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</si>
  <si>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</si>
  <si>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</si>
  <si>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</si>
  <si>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</si>
  <si>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</si>
  <si>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</si>
  <si>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</si>
  <si>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</si>
  <si>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</si>
  <si>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</si>
  <si>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</si>
  <si>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</si>
  <si>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</si>
  <si>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</si>
  <si>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</si>
  <si>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</si>
  <si>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</si>
  <si>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</si>
  <si>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</si>
  <si>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Hill Sprints</t>
  </si>
  <si>
    <t>Hip Flexor Band Work</t>
  </si>
  <si>
    <t>10-20 reps each side</t>
  </si>
  <si>
    <t>https://www.youtube.com/watch?v=LeBOkz-3vtQ</t>
  </si>
  <si>
    <t>Pre-Race 200M Gear Changes</t>
  </si>
  <si>
    <t>Pre-Race 100M Step Downs</t>
  </si>
  <si>
    <t xml:space="preserve">Single Leg Pogo Hops </t>
  </si>
  <si>
    <t>10-15 reps each side</t>
  </si>
  <si>
    <t>Lower Body E</t>
  </si>
  <si>
    <t>Jump Lunges</t>
  </si>
  <si>
    <t>10 reps each side</t>
  </si>
  <si>
    <t>https://www.youtube.com/watch?v=kq3eB5KVcNk</t>
  </si>
  <si>
    <t>https://www.youtube.com/watch?v=U12iOibPX98</t>
  </si>
  <si>
    <t>Change into workout shoes</t>
  </si>
  <si>
    <t>Short 800-1200M warmup</t>
  </si>
  <si>
    <t>Choose 5 dynamic drills and complete. Finish with leg swings</t>
  </si>
  <si>
    <t>2x 100M strides in preparation for 30M flys</t>
  </si>
  <si>
    <t>Change into trainers for 30M flys</t>
  </si>
  <si>
    <t>4x 30M flys. 100% relaxed effort, sprint form</t>
  </si>
  <si>
    <t>Change into spikes for 150s</t>
  </si>
  <si>
    <t>4-6x 150M @ 1600 effort</t>
  </si>
  <si>
    <t>Change into trainers for cooldown</t>
  </si>
  <si>
    <t>5-15 minute easy cooldown</t>
  </si>
  <si>
    <t>Standard hurdle mobility work</t>
  </si>
  <si>
    <t>4x 100M gentle strides</t>
  </si>
  <si>
    <t>4x 100M gentle strides to flush the legs</t>
  </si>
  <si>
    <t>4x 100M gentle strides to spin the legs</t>
  </si>
  <si>
    <t>5-10 minutes of gentle static stretching post run</t>
  </si>
  <si>
    <t>8-10x 3' @ T, 1 minute standing recovery</t>
  </si>
  <si>
    <t>30-45 minute easy run</t>
  </si>
  <si>
    <t>4x 100M strides, stepping down to 1600M effort</t>
  </si>
  <si>
    <t>Box Elder High School</t>
  </si>
  <si>
    <t>Standard hurdle mobility drills.</t>
  </si>
  <si>
    <t>8-12 minute easy warmup</t>
  </si>
  <si>
    <t>800M-1600M race</t>
  </si>
  <si>
    <t>2-4x 100M strides</t>
  </si>
  <si>
    <t>Dynamic stretching and drills</t>
  </si>
  <si>
    <t>Extended cooldown, 2-5 miles</t>
  </si>
  <si>
    <t>Gentle 4x 100M strides to flush the legs</t>
  </si>
  <si>
    <t>1,5</t>
  </si>
  <si>
    <t>30-60 minute recovery run</t>
  </si>
  <si>
    <t>15 minute easy warmup</t>
  </si>
  <si>
    <t>4x 100M strides</t>
  </si>
  <si>
    <t>2-4x 1000M (400M, 200M, 400M continuous) 400M @ 3200M effort, 200M @ 800M effort, 200M @ 1600M effort. 5 minutes in between intervals.</t>
  </si>
  <si>
    <t>Easy 15-20 minute cooldown</t>
  </si>
  <si>
    <t>60-90 minute long run -- EASY!!!!!</t>
  </si>
  <si>
    <t>OK, this is a complicated week.  And there's a fair amount of intensity.  Let's really watch it and adjust if necessary. The caution we need starts with really respecting the threshold workout on Monday.  Don't let the pace creep up…and don't be afraid to limit the reps a little bit.  Then, everything else other than the race on Wednesday is EASY with a CAPITAL E.  The workout on Friday is decently hard, but should be manageable.  We really want to watch it here, so I'll need your honest input on how you're feeling.  We want to get good work in, but still not be overtired for Davis Invite the next weekend. So, Saturday's run in particular should be RELAXED.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</si>
</sst>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horizontal="left" vertical="center" wrapText="1"/>
    </xf>
  </cellXfs>
  <cellStyles count="3">
    <cellStyle name="Hyperlink" xfId="2" builtinId="8"/>
    <cellStyle name="Normal" xfId="0" builtinId="0"/>
    <cellStyle name="Percent" xfId="1" builtinId="5"/>
  </cellStyles>
  <dxfs count="1110">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2" tint="-0.749961851863155"/>
        </patternFill>
      </fill>
    </dxf>
    <dxf>
      <font>
        <color theme="0"/>
      </font>
      <fill>
        <patternFill>
          <bgColor theme="7" tint="-0.24994659260841701"/>
        </patternFill>
      </fill>
    </dxf>
    <dxf>
      <font>
        <color theme="0"/>
      </font>
      <fill>
        <patternFill>
          <bgColor rgb="FFC00000"/>
        </patternFill>
      </fill>
    </dxf>
    <dxf>
      <fill>
        <patternFill>
          <bgColor theme="0"/>
        </patternFill>
      </fill>
    </dxf>
    <dxf>
      <font>
        <color theme="0"/>
      </font>
      <fill>
        <patternFill>
          <bgColor theme="5" tint="-0.24994659260841701"/>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7" tint="0.79998168889431442"/>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rgb="FFFAFAC8"/>
        </patternFill>
      </fill>
    </dxf>
    <dxf>
      <font>
        <color theme="0"/>
      </font>
      <fill>
        <patternFill>
          <bgColor theme="7" tint="-0.24994659260841701"/>
        </patternFill>
      </fill>
    </dxf>
    <dxf>
      <fill>
        <patternFill>
          <bgColor theme="0"/>
        </patternFill>
      </fill>
    </dxf>
    <dxf>
      <fill>
        <patternFill>
          <bgColor rgb="FFFAFAC8"/>
        </patternFill>
      </fill>
    </dxf>
    <dxf>
      <fill>
        <patternFill>
          <bgColor theme="7" tint="0.79998168889431442"/>
        </patternFill>
      </fill>
    </dxf>
    <dxf>
      <font>
        <color theme="0"/>
      </font>
      <fill>
        <patternFill>
          <bgColor theme="5" tint="-0.24994659260841701"/>
        </patternFill>
      </fill>
    </dxf>
    <dxf>
      <font>
        <color theme="0"/>
      </font>
      <fill>
        <patternFill>
          <bgColor rgb="FFC00000"/>
        </patternFill>
      </fill>
    </dxf>
    <dxf>
      <font>
        <color theme="0"/>
      </font>
      <fill>
        <patternFill>
          <bgColor theme="2" tint="-0.749961851863155"/>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2" tint="-0.749961851863155"/>
        </patternFill>
      </fill>
    </dxf>
    <dxf>
      <font>
        <color theme="0"/>
      </font>
      <fill>
        <patternFill>
          <bgColor theme="7" tint="-0.24994659260841701"/>
        </patternFill>
      </fill>
    </dxf>
    <dxf>
      <font>
        <color theme="0"/>
      </font>
      <fill>
        <patternFill>
          <bgColor rgb="FFC00000"/>
        </patternFill>
      </fill>
    </dxf>
    <dxf>
      <fill>
        <patternFill>
          <bgColor theme="0"/>
        </patternFill>
      </fill>
    </dxf>
    <dxf>
      <font>
        <color theme="0"/>
      </font>
      <fill>
        <patternFill>
          <bgColor theme="5" tint="-0.24994659260841701"/>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2" tint="-0.749961851863155"/>
        </patternFill>
      </fill>
    </dxf>
    <dxf>
      <fill>
        <patternFill>
          <bgColor theme="7" tint="0.79998168889431442"/>
        </patternFill>
      </fill>
    </dxf>
    <dxf>
      <font>
        <color theme="0"/>
      </font>
      <fill>
        <patternFill>
          <bgColor rgb="FFC00000"/>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09" headerRowBorderDxfId="1108" tableBorderDxfId="1107" totalsRowBorderDxfId="1106">
  <autoFilter ref="A1:C33" xr:uid="{FF795C1F-72BF-8048-AF19-4BC109754AA4}"/>
  <tableColumns count="3">
    <tableColumn id="1" xr3:uid="{797539E5-C30E-C347-9E62-77070737E32D}" name="Category of Training Stimulus" dataDxfId="1105"/>
    <tableColumn id="2" xr3:uid="{CF079A49-3B75-8945-8D85-33DE537F2E7B}" name="Training Component" dataDxfId="1104"/>
    <tableColumn id="3" xr3:uid="{14E078D6-C756-AB4E-A5B8-549BDA9140C1}" name="Description" dataDxfId="1103"/>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02" dataDxfId="1101">
  <autoFilter ref="A1:E44" xr:uid="{A95B5FF0-C24C-AB40-8E37-E36D1F969343}"/>
  <tableColumns count="5">
    <tableColumn id="1" xr3:uid="{E9AB92C4-8B67-3D4B-A8C6-B78C1D4BEEE7}" name="Exercise" dataDxfId="1100"/>
    <tableColumn id="2" xr3:uid="{1A4AEDDF-E23C-3946-AE38-5C5CF7F9C0CE}" name="Routine" dataDxfId="1099"/>
    <tableColumn id="3" xr3:uid="{DF3B3656-9776-1E47-9C7A-2D19CBE10A25}" name="Sets" dataDxfId="1098"/>
    <tableColumn id="4" xr3:uid="{215C473A-1C36-7140-8726-D4CA58A8BDDE}" name="Reps" dataDxfId="1097"/>
    <tableColumn id="5" xr3:uid="{CE501D42-6216-6142-8A4D-7407FA435D0A}" name="Description" dataDxfId="109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H12" sqref="H12:K19"/>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50 minutes</v>
      </c>
      <c r="C2" s="49" t="str">
        <f>P2&amp;" hours "&amp;ROUND((P3-P2)*(60),2)&amp; " minutes"</f>
        <v>6 hours 24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29.85 miles</v>
      </c>
      <c r="C3" s="23" t="str">
        <f>(Monday!$R$10+Tuesday!$R$10+Wednesday!$R$10+Thursday!$R$10+Friday!$R$10+Saturday!$R$10)&amp;" miles"</f>
        <v>52.2 miles</v>
      </c>
      <c r="H3" s="6" t="s">
        <v>59</v>
      </c>
      <c r="I3" s="6" t="s">
        <v>95</v>
      </c>
      <c r="J3" s="6" t="s">
        <v>9</v>
      </c>
      <c r="K3" s="6"/>
      <c r="O3" s="2">
        <f>(Monday!$M$10+Tuesday!$M$10+Wednesday!$M$10+Thursday!$M$10+Friday!$M$10+Saturday!$M$10)/(60)</f>
        <v>3.8333333333333335</v>
      </c>
      <c r="P3" s="2">
        <f>(Monday!$N$10+Tuesday!$N$10+Wednesday!$N$10+Thursday!$N$10+Friday!$N$10+Saturday!$N$10)/(60)</f>
        <v>6.4</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78</v>
      </c>
      <c r="J5" s="6"/>
      <c r="K5" s="6"/>
    </row>
    <row r="6" spans="1:16" ht="22" customHeight="1">
      <c r="A6" s="54" t="s">
        <v>17</v>
      </c>
      <c r="B6" s="55">
        <f>TIME(,(Monday!M4+Tuesday!M4+Wednesday!M4+Thursday!M4+Friday!M4+Saturday!M4),)</f>
        <v>0.12638888888888888</v>
      </c>
      <c r="C6" s="55">
        <f>TIME(,(Monday!N4+Tuesday!N4+Wednesday!N4+Thursday!N4+Friday!N4+Saturday!N4),)</f>
        <v>0.22083333333333333</v>
      </c>
      <c r="D6" s="56">
        <f t="shared" ref="D6:D11" si="0">(B6/SUM($B$6:$B$11))</f>
        <v>0.79130434782608694</v>
      </c>
      <c r="E6" s="56">
        <f>(C6/SUM($C$6:$C$11))</f>
        <v>0.828125</v>
      </c>
      <c r="F6" s="56">
        <f>(D6+E6)/2</f>
        <v>0.80971467391304341</v>
      </c>
      <c r="H6" s="6" t="s">
        <v>75</v>
      </c>
      <c r="I6" s="6" t="s">
        <v>97</v>
      </c>
      <c r="J6" s="6" t="s">
        <v>7</v>
      </c>
      <c r="K6" s="6"/>
    </row>
    <row r="7" spans="1:16" ht="22" customHeight="1">
      <c r="A7" s="29" t="s">
        <v>34</v>
      </c>
      <c r="B7" s="57">
        <f>TIME(,(Monday!M5+Tuesday!M5+Wednesday!M5+Thursday!M5+Friday!M5+Saturday!M5),)</f>
        <v>7.6388888888888886E-3</v>
      </c>
      <c r="C7" s="57">
        <f>TIME(,(Monday!N5+Tuesday!N5+Wednesday!N5+Thursday!N5+Friday!N5+Saturday!N5),)</f>
        <v>8.3333333333333332E-3</v>
      </c>
      <c r="D7" s="58">
        <f t="shared" si="0"/>
        <v>4.7826086956521741E-2</v>
      </c>
      <c r="E7" s="58">
        <f t="shared" ref="E7:E11" si="1">(C7/SUM($C$6:$C$11))</f>
        <v>3.125E-2</v>
      </c>
      <c r="F7" s="58">
        <f t="shared" ref="F7:F11" si="2">(D7+E7)/2</f>
        <v>3.953804347826087E-2</v>
      </c>
      <c r="H7" s="6" t="s">
        <v>76</v>
      </c>
      <c r="I7" s="6" t="s">
        <v>95</v>
      </c>
      <c r="J7" s="6"/>
      <c r="K7" s="6" t="s">
        <v>5</v>
      </c>
    </row>
    <row r="8" spans="1:16" ht="22" customHeight="1">
      <c r="A8" s="59" t="s">
        <v>22</v>
      </c>
      <c r="B8" s="60">
        <f>TIME(,(Monday!M6+Tuesday!M6+Wednesday!M6+Thursday!M6+Friday!M6+Saturday!M6),)</f>
        <v>1.6666666666666666E-2</v>
      </c>
      <c r="C8" s="60">
        <f>TIME(,(Monday!N6+Tuesday!N6+Wednesday!N6+Thursday!N6+Friday!N6+Saturday!N6),)</f>
        <v>2.0833333333333332E-2</v>
      </c>
      <c r="D8" s="61">
        <f t="shared" si="0"/>
        <v>0.10434782608695653</v>
      </c>
      <c r="E8" s="61">
        <f t="shared" si="1"/>
        <v>7.8125E-2</v>
      </c>
      <c r="F8" s="61">
        <f t="shared" si="2"/>
        <v>9.1236413043478265E-2</v>
      </c>
      <c r="H8" s="6" t="s">
        <v>79</v>
      </c>
      <c r="I8" s="6" t="s">
        <v>77</v>
      </c>
      <c r="J8" s="6" t="s">
        <v>129</v>
      </c>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8.3333333333333332E-3</v>
      </c>
      <c r="C10" s="67">
        <f>TIME(,(Monday!N8+Tuesday!N8+Wednesday!N8+Thursday!N8+Friday!N8+Saturday!N8),)</f>
        <v>1.5972222222222221E-2</v>
      </c>
      <c r="D10" s="68">
        <f t="shared" si="0"/>
        <v>5.2173913043478265E-2</v>
      </c>
      <c r="E10" s="68">
        <f t="shared" si="1"/>
        <v>5.9895833333333329E-2</v>
      </c>
      <c r="F10" s="68">
        <f t="shared" si="2"/>
        <v>5.6034873188405797E-2</v>
      </c>
    </row>
    <row r="11" spans="1:16" ht="22" customHeight="1">
      <c r="A11" s="69" t="s">
        <v>3</v>
      </c>
      <c r="B11" s="71">
        <f>TIME(,(Monday!M9+Tuesday!M9+Wednesday!M9+Thursday!M9+Friday!M9+Saturday!M9),)</f>
        <v>6.9444444444444447E-4</v>
      </c>
      <c r="C11" s="71">
        <f>TIME(,(Monday!N9+Tuesday!N9+Wednesday!N9+Thursday!N9+Friday!N9+Saturday!N9),)</f>
        <v>6.9444444444444447E-4</v>
      </c>
      <c r="D11" s="70">
        <f t="shared" si="0"/>
        <v>4.3478260869565227E-3</v>
      </c>
      <c r="E11" s="70">
        <f t="shared" si="1"/>
        <v>2.604166666666667E-3</v>
      </c>
      <c r="F11" s="70">
        <f t="shared" si="2"/>
        <v>3.4759963768115948E-3</v>
      </c>
      <c r="H11" s="81" t="s">
        <v>156</v>
      </c>
      <c r="I11" s="81"/>
      <c r="J11" s="81"/>
      <c r="K11" s="81"/>
    </row>
    <row r="12" spans="1:16" ht="22" customHeight="1">
      <c r="H12" s="80" t="s">
        <v>223</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21.75</v>
      </c>
      <c r="C14" s="28">
        <f>Monday!R4+Tuesday!R4+Wednesday!R4+Thursday!R4+Friday!R4+Saturday!R4</f>
        <v>40.25</v>
      </c>
      <c r="D14" s="56">
        <f>B14/(SUM($B$14:$B$19))</f>
        <v>0.72864321608040195</v>
      </c>
      <c r="E14" s="56">
        <f>C14/(SUM($C$14:$C$19))</f>
        <v>0.77107279693486586</v>
      </c>
      <c r="F14" s="56">
        <f t="shared" ref="F14:F19" si="3">(D14+E14)/2</f>
        <v>0.7498580065076339</v>
      </c>
      <c r="H14" s="80"/>
      <c r="I14" s="80"/>
      <c r="J14" s="80"/>
      <c r="K14" s="80"/>
    </row>
    <row r="15" spans="1:16" ht="22" customHeight="1">
      <c r="A15" s="29" t="s">
        <v>34</v>
      </c>
      <c r="B15" s="30">
        <f>Monday!Q5+Tuesday!Q5+Wednesday!Q5+Thursday!Q5+Friday!Q5+Saturday!Q5</f>
        <v>2.15</v>
      </c>
      <c r="C15" s="30">
        <f>Monday!R5+Tuesday!R5+Wednesday!R5+Thursday!R5+Friday!R5+Saturday!R5</f>
        <v>2.25</v>
      </c>
      <c r="D15" s="58">
        <f t="shared" ref="D15:D19" si="4">B15/(SUM($B$14:$B$19))</f>
        <v>7.2026800670016738E-2</v>
      </c>
      <c r="E15" s="58">
        <f t="shared" ref="E15:E19" si="5">C15/(SUM($C$14:$C$19))</f>
        <v>4.3103448275862065E-2</v>
      </c>
      <c r="F15" s="58">
        <f t="shared" si="3"/>
        <v>5.7565124472939405E-2</v>
      </c>
      <c r="H15" s="80"/>
      <c r="I15" s="80"/>
      <c r="J15" s="80"/>
      <c r="K15" s="80"/>
    </row>
    <row r="16" spans="1:16" ht="22" customHeight="1">
      <c r="A16" s="59" t="s">
        <v>22</v>
      </c>
      <c r="B16" s="32">
        <f>Monday!Q6+Tuesday!Q6+Wednesday!Q6+Thursday!Q6+Friday!Q6+Saturday!Q6</f>
        <v>3.75</v>
      </c>
      <c r="C16" s="32">
        <f>Monday!R6+Tuesday!R6+Wednesday!R6+Thursday!R6+Friday!R6+Saturday!R6</f>
        <v>5.5</v>
      </c>
      <c r="D16" s="61">
        <f t="shared" si="4"/>
        <v>0.12562814070351758</v>
      </c>
      <c r="E16" s="61">
        <f t="shared" si="5"/>
        <v>0.1053639846743295</v>
      </c>
      <c r="F16" s="61">
        <f t="shared" si="3"/>
        <v>0.11549606268892354</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2.1</v>
      </c>
      <c r="C18" s="34">
        <f>Monday!R8+Tuesday!R8+Wednesday!R8+Thursday!R8+Friday!R8+Saturday!R8</f>
        <v>4.0999999999999996</v>
      </c>
      <c r="D18" s="68">
        <f t="shared" si="4"/>
        <v>7.0351758793969849E-2</v>
      </c>
      <c r="E18" s="68">
        <f t="shared" si="5"/>
        <v>7.8544061302681975E-2</v>
      </c>
      <c r="F18" s="68">
        <f t="shared" si="3"/>
        <v>7.4447910048325905E-2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3.3500837520938024E-3</v>
      </c>
      <c r="E19" s="70">
        <f t="shared" si="5"/>
        <v>1.9157088122605363E-3</v>
      </c>
      <c r="F19" s="70">
        <f t="shared" si="3"/>
        <v>2.6328962821771692E-3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B2" sqref="B2:B3"/>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45754</v>
      </c>
      <c r="C1" s="20" t="s">
        <v>95</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3" t="s">
        <v>191</v>
      </c>
      <c r="F4" s="83"/>
      <c r="G4" s="23">
        <v>4</v>
      </c>
      <c r="H4" s="23">
        <v>6</v>
      </c>
      <c r="I4" s="23">
        <v>0.5</v>
      </c>
      <c r="J4" s="23">
        <v>0.75</v>
      </c>
      <c r="L4" s="27" t="s">
        <v>69</v>
      </c>
      <c r="M4" s="28">
        <f>SUMIF(Monday_Training_Category,"Aerobic Running",Monday_Training_Time_Lower)</f>
        <v>9</v>
      </c>
      <c r="N4" s="28">
        <f>SUMIF(Monday_Training_Category,"Aerobic Running",Monday_Training_Time_Upper)</f>
        <v>21</v>
      </c>
      <c r="O4" s="39">
        <f t="shared" ref="O4:O9" si="0">M4/$M$10</f>
        <v>0.24324324324324326</v>
      </c>
      <c r="P4" s="39">
        <f t="shared" ref="P4:P10" si="1">N4/$N$10</f>
        <v>0.38181818181818183</v>
      </c>
      <c r="Q4" s="28">
        <f>SUMIF(Monday_Training_Category,"Aerobic Running",Monday_Training_Distance_Lower)</f>
        <v>1.25</v>
      </c>
      <c r="R4" s="28">
        <f>SUMIF(Monday_Training_Category,"Aerobic Running",Monday_Training_Distance_Upper)</f>
        <v>2.75</v>
      </c>
      <c r="S4" s="39">
        <f>Q4/$Q$10</f>
        <v>0.22123893805309736</v>
      </c>
      <c r="T4" s="39">
        <f>R4/$R$10</f>
        <v>0.30054644808743175</v>
      </c>
    </row>
    <row r="5" spans="1:20" s="2" customFormat="1" ht="50" customHeight="1">
      <c r="A5" s="6" t="s">
        <v>19</v>
      </c>
      <c r="B5" s="6" t="str">
        <f>_xlfn.XLOOKUP(A5,TrainingTable[Training Component],TrainingTable[Category of Training Stimulus],"")</f>
        <v>Stretching and Mobility</v>
      </c>
      <c r="C5" s="6" t="s">
        <v>55</v>
      </c>
      <c r="D5" s="6" t="s">
        <v>64</v>
      </c>
      <c r="E5" s="83" t="s">
        <v>192</v>
      </c>
      <c r="F5" s="83"/>
      <c r="G5" s="23">
        <v>2</v>
      </c>
      <c r="H5" s="23">
        <v>2</v>
      </c>
      <c r="I5" s="23">
        <v>0.2</v>
      </c>
      <c r="J5" s="23">
        <v>0.2</v>
      </c>
      <c r="L5" s="29" t="s">
        <v>34</v>
      </c>
      <c r="M5" s="30">
        <f>SUMIF(Monday_Training_Category,"Turnover and Pace Work",Monday_Training_Time_Lower)</f>
        <v>1</v>
      </c>
      <c r="N5" s="30">
        <f>SUMIF(Monday_Training_Category,"Turnover and Pace Work",Monday_Training_Time_Upper)</f>
        <v>1</v>
      </c>
      <c r="O5" s="40">
        <f t="shared" si="0"/>
        <v>2.7027027027027029E-2</v>
      </c>
      <c r="P5" s="40">
        <f t="shared" si="1"/>
        <v>1.8181818181818181E-2</v>
      </c>
      <c r="Q5" s="30">
        <f>SUMIF(Monday_Training_Category,"Turnover and Pace Work",Monday_Training_Distance_Lower)</f>
        <v>0.2</v>
      </c>
      <c r="R5" s="30">
        <f>SUMIF(Monday_Training_Category,"Turnover and Pace Work",Monday_Training_Distance_Upper)</f>
        <v>0.2</v>
      </c>
      <c r="S5" s="40">
        <f t="shared" ref="S5:S10" si="2">Q5/$Q$10</f>
        <v>3.5398230088495582E-2</v>
      </c>
      <c r="T5" s="40">
        <f t="shared" ref="T5:T10" si="3">R5/$R$10</f>
        <v>2.1857923497267763E-2</v>
      </c>
    </row>
    <row r="6" spans="1:20" s="2" customFormat="1" ht="50" customHeight="1">
      <c r="A6" s="6" t="s">
        <v>43</v>
      </c>
      <c r="B6" s="6" t="str">
        <f>_xlfn.XLOOKUP(A6,TrainingTable[Training Component],TrainingTable[Category of Training Stimulus],"")</f>
        <v>Turnover and Pace Work</v>
      </c>
      <c r="C6" s="6" t="s">
        <v>55</v>
      </c>
      <c r="D6" s="6" t="s">
        <v>64</v>
      </c>
      <c r="E6" s="83" t="s">
        <v>193</v>
      </c>
      <c r="F6" s="83"/>
      <c r="G6" s="23">
        <v>1</v>
      </c>
      <c r="H6" s="23">
        <v>1</v>
      </c>
      <c r="I6" s="23">
        <v>0.2</v>
      </c>
      <c r="J6" s="23">
        <v>0.2</v>
      </c>
      <c r="L6" s="31" t="s">
        <v>22</v>
      </c>
      <c r="M6" s="32">
        <f>SUMIF(Monday_Training_Category,"Threshold",Monday_Training_Time_Lower)</f>
        <v>24</v>
      </c>
      <c r="N6" s="32">
        <f>SUMIF(Monday_Training_Category,"Threshold",Monday_Training_Time_Upper)</f>
        <v>30</v>
      </c>
      <c r="O6" s="41">
        <f t="shared" si="0"/>
        <v>0.64864864864864868</v>
      </c>
      <c r="P6" s="41">
        <f t="shared" si="1"/>
        <v>0.54545454545454541</v>
      </c>
      <c r="Q6" s="32">
        <f>SUMIF(Monday_Training_Category,"Threshold",Monday_Training_Distance_Lower)</f>
        <v>3.75</v>
      </c>
      <c r="R6" s="32">
        <f>SUMIF(Monday_Training_Category,"Threshold",Monday_Training_Distance_Upper)</f>
        <v>5.5</v>
      </c>
      <c r="S6" s="41">
        <f t="shared" si="2"/>
        <v>0.66371681415929207</v>
      </c>
      <c r="T6" s="41">
        <f t="shared" si="3"/>
        <v>0.6010928961748635</v>
      </c>
    </row>
    <row r="7" spans="1:20" s="2" customFormat="1" ht="50" customHeight="1">
      <c r="A7" s="6" t="s">
        <v>49</v>
      </c>
      <c r="B7" s="6" t="str">
        <f>_xlfn.XLOOKUP(A7,TrainingTable[Training Component],TrainingTable[Category of Training Stimulus],"")</f>
        <v>Recovery</v>
      </c>
      <c r="C7" s="6" t="s">
        <v>57</v>
      </c>
      <c r="D7" s="6" t="s">
        <v>57</v>
      </c>
      <c r="E7" s="83" t="s">
        <v>194</v>
      </c>
      <c r="F7" s="83"/>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3" t="s">
        <v>195</v>
      </c>
      <c r="F8" s="83"/>
      <c r="G8" s="23">
        <v>1</v>
      </c>
      <c r="H8" s="23">
        <v>1</v>
      </c>
      <c r="I8" s="23">
        <v>0.1</v>
      </c>
      <c r="J8" s="23">
        <v>0.1</v>
      </c>
      <c r="L8" s="33" t="s">
        <v>2</v>
      </c>
      <c r="M8" s="34">
        <f>SUMIF(Monday_Training_Category,"Lactate Tolerance",Monday_Training_Time_Lower)</f>
        <v>2</v>
      </c>
      <c r="N8" s="34">
        <f>SUMIF(Monday_Training_Category,"Lactate Tolerance",Monday_Training_Time_Upper)</f>
        <v>2</v>
      </c>
      <c r="O8" s="43">
        <f t="shared" si="0"/>
        <v>5.4054054054054057E-2</v>
      </c>
      <c r="P8" s="43">
        <f t="shared" si="1"/>
        <v>3.6363636363636362E-2</v>
      </c>
      <c r="Q8" s="34">
        <f>SUMIF(Monday_Training_Category,"Lactate Tolerance",Monday_Training_Distance_Lower)</f>
        <v>0.35</v>
      </c>
      <c r="R8" s="34">
        <f>SUMIF(Monday_Training_Category,"Lactate Tolerance",Monday_Training_Distance_Upper)</f>
        <v>0.6</v>
      </c>
      <c r="S8" s="43">
        <f t="shared" si="2"/>
        <v>6.1946902654867256E-2</v>
      </c>
      <c r="T8" s="43">
        <f t="shared" si="3"/>
        <v>6.5573770491803282E-2</v>
      </c>
    </row>
    <row r="9" spans="1:20" s="2" customFormat="1" ht="50" customHeight="1">
      <c r="A9" s="6" t="s">
        <v>49</v>
      </c>
      <c r="B9" s="6" t="str">
        <f>_xlfn.XLOOKUP(A9,TrainingTable[Training Component],TrainingTable[Category of Training Stimulus],"")</f>
        <v>Recovery</v>
      </c>
      <c r="C9" s="6" t="s">
        <v>57</v>
      </c>
      <c r="D9" s="6" t="s">
        <v>57</v>
      </c>
      <c r="E9" s="83" t="s">
        <v>190</v>
      </c>
      <c r="F9" s="83"/>
      <c r="G9" s="23">
        <v>5</v>
      </c>
      <c r="H9" s="23">
        <v>5</v>
      </c>
      <c r="I9" s="23">
        <v>0</v>
      </c>
      <c r="J9" s="23">
        <v>0</v>
      </c>
      <c r="L9" s="37" t="s">
        <v>3</v>
      </c>
      <c r="M9" s="38">
        <f>SUMIF(Monday_Training_Category,"Speed Development",Monday_Training_Time_Lower)</f>
        <v>1</v>
      </c>
      <c r="N9" s="38">
        <f>SUMIF(Monday_Training_Category,"Speed Development",Monday_Training_Time_Upper)</f>
        <v>1</v>
      </c>
      <c r="O9" s="44">
        <f t="shared" si="0"/>
        <v>2.7027027027027029E-2</v>
      </c>
      <c r="P9" s="44">
        <f t="shared" si="1"/>
        <v>1.8181818181818181E-2</v>
      </c>
      <c r="Q9" s="38">
        <f>SUMIF(Monday_Training_Category,"Speed Development",Monday_Training_Distance_Lower)</f>
        <v>0.1</v>
      </c>
      <c r="R9" s="38">
        <f>SUMIF(Monday_Training_Category,"Speed Development",Monday_Training_Distance_Upper)</f>
        <v>0.1</v>
      </c>
      <c r="S9" s="44">
        <f t="shared" si="2"/>
        <v>1.7699115044247791E-2</v>
      </c>
      <c r="T9" s="44">
        <f t="shared" si="3"/>
        <v>1.0928961748633882E-2</v>
      </c>
    </row>
    <row r="10" spans="1:20" s="2" customFormat="1" ht="50" customHeight="1">
      <c r="A10" s="6" t="s">
        <v>23</v>
      </c>
      <c r="B10" s="6" t="str">
        <f>_xlfn.XLOOKUP(A10,TrainingTable[Training Component],TrainingTable[Category of Training Stimulus],"")</f>
        <v>Threshold</v>
      </c>
      <c r="C10" s="6" t="s">
        <v>58</v>
      </c>
      <c r="D10" s="6" t="s">
        <v>64</v>
      </c>
      <c r="E10" s="83" t="s">
        <v>205</v>
      </c>
      <c r="F10" s="83"/>
      <c r="G10" s="23">
        <v>24</v>
      </c>
      <c r="H10" s="23">
        <v>30</v>
      </c>
      <c r="I10" s="23">
        <v>3.75</v>
      </c>
      <c r="J10" s="23">
        <v>5.5</v>
      </c>
      <c r="L10" s="46" t="s">
        <v>72</v>
      </c>
      <c r="M10" s="23">
        <f>SUM(M4:M9)</f>
        <v>37</v>
      </c>
      <c r="N10" s="23">
        <f>SUM(N4:N9)</f>
        <v>55</v>
      </c>
      <c r="O10" s="47">
        <f>M10/M10</f>
        <v>1</v>
      </c>
      <c r="P10" s="45">
        <f t="shared" si="1"/>
        <v>1</v>
      </c>
      <c r="Q10" s="23">
        <f>SUM(Q4:Q9)</f>
        <v>5.6499999999999995</v>
      </c>
      <c r="R10" s="23">
        <f>SUM(R4:R9)</f>
        <v>9.1499999999999986</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3" t="s">
        <v>196</v>
      </c>
      <c r="F11" s="83"/>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3" t="s">
        <v>197</v>
      </c>
      <c r="F12" s="83"/>
      <c r="G12" s="23">
        <v>2</v>
      </c>
      <c r="H12" s="23">
        <v>2</v>
      </c>
      <c r="I12" s="23">
        <v>0.35</v>
      </c>
      <c r="J12" s="23">
        <v>0.6</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3" t="s">
        <v>198</v>
      </c>
      <c r="F13" s="83"/>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55</v>
      </c>
      <c r="D14" s="6" t="s">
        <v>67</v>
      </c>
      <c r="E14" s="83" t="s">
        <v>199</v>
      </c>
      <c r="F14" s="83"/>
      <c r="G14" s="23">
        <v>5</v>
      </c>
      <c r="H14" s="23">
        <v>15</v>
      </c>
      <c r="I14" s="23">
        <v>0.75</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55</v>
      </c>
      <c r="D15" s="6" t="s">
        <v>64</v>
      </c>
      <c r="E15" s="83" t="s">
        <v>200</v>
      </c>
      <c r="F15" s="83"/>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095" priority="368">
      <formula>$B$4="Speed Development"</formula>
    </cfRule>
    <cfRule type="expression" dxfId="1094" priority="367">
      <formula>$B$4="Lactate Tolerance"</formula>
    </cfRule>
    <cfRule type="expression" dxfId="1093" priority="366">
      <formula>$B$4="VO2 Max"</formula>
    </cfRule>
    <cfRule type="expression" dxfId="1092" priority="365">
      <formula>$B$4="Threshold"</formula>
    </cfRule>
    <cfRule type="expression" dxfId="1091" priority="364">
      <formula>$B$4="Turnover and Pace Work"</formula>
    </cfRule>
    <cfRule type="expression" dxfId="1090" priority="363">
      <formula>$B$4="Aerobic Running"</formula>
    </cfRule>
    <cfRule type="expression" dxfId="1089" priority="362">
      <formula>$B$4="Stretching and Mobility"</formula>
    </cfRule>
    <cfRule type="expression" dxfId="1088" priority="361">
      <formula>$B$4="Recovery"</formula>
    </cfRule>
  </conditionalFormatting>
  <conditionalFormatting sqref="A5:F5">
    <cfRule type="expression" dxfId="1087" priority="176">
      <formula>$B$5="Speed Development"</formula>
    </cfRule>
    <cfRule type="expression" dxfId="1086" priority="175">
      <formula>$B$5="Lactate Tolerance"</formula>
    </cfRule>
    <cfRule type="expression" dxfId="1085" priority="174">
      <formula>$B$5="VO2 Max"</formula>
    </cfRule>
    <cfRule type="expression" dxfId="1084" priority="173">
      <formula>$B$5="Threshold"</formula>
    </cfRule>
    <cfRule type="expression" dxfId="1083" priority="172">
      <formula>$B$5="Turnover and Pace Work"</formula>
    </cfRule>
    <cfRule type="expression" dxfId="1082" priority="171">
      <formula>$B$5="Aerobic Running"</formula>
    </cfRule>
    <cfRule type="expression" dxfId="1081" priority="170">
      <formula>$B$5="Stretching and Mobility"</formula>
    </cfRule>
    <cfRule type="expression" dxfId="1080" priority="169">
      <formula>$B$5="Recovery"</formula>
    </cfRule>
  </conditionalFormatting>
  <conditionalFormatting sqref="A6:F6">
    <cfRule type="expression" dxfId="1079" priority="164">
      <formula>$B$6="Turnover and Pace Work"</formula>
    </cfRule>
    <cfRule type="expression" dxfId="1078" priority="167">
      <formula>$B$6="Lactate Tolerance"</formula>
    </cfRule>
    <cfRule type="expression" dxfId="1077" priority="166">
      <formula>$B$6="VO2 Max"</formula>
    </cfRule>
    <cfRule type="expression" dxfId="1076" priority="165">
      <formula>$B$6="Threshold"</formula>
    </cfRule>
    <cfRule type="expression" dxfId="1075" priority="168">
      <formula>$B$6="Speed Development"</formula>
    </cfRule>
    <cfRule type="expression" dxfId="1074" priority="163">
      <formula>$B$6="Aerobic Running"</formula>
    </cfRule>
    <cfRule type="expression" dxfId="1073" priority="162">
      <formula>$B$6="Stretching and Mobility"</formula>
    </cfRule>
    <cfRule type="expression" dxfId="1072" priority="161">
      <formula>$B$6="Recovery"</formula>
    </cfRule>
  </conditionalFormatting>
  <conditionalFormatting sqref="A7:F7">
    <cfRule type="expression" dxfId="1071" priority="160">
      <formula>$B$7="Speed Development"</formula>
    </cfRule>
    <cfRule type="expression" dxfId="1070" priority="159">
      <formula>$B$7="Lactate Tolerance"</formula>
    </cfRule>
    <cfRule type="expression" dxfId="1069" priority="158">
      <formula>$B$7="VO2 Max"</formula>
    </cfRule>
    <cfRule type="expression" dxfId="1068" priority="157">
      <formula>$B$7="Threshold"</formula>
    </cfRule>
    <cfRule type="expression" dxfId="1067" priority="156">
      <formula>$B$7="Turnover and Pace Work"</formula>
    </cfRule>
    <cfRule type="expression" dxfId="1066" priority="155">
      <formula>$B$7="Aerobic Running"</formula>
    </cfRule>
    <cfRule type="expression" dxfId="1065" priority="154">
      <formula>$B$7="Stretching and Mobility"</formula>
    </cfRule>
    <cfRule type="expression" dxfId="1064" priority="153">
      <formula>$B$7="Recovery"</formula>
    </cfRule>
  </conditionalFormatting>
  <conditionalFormatting sqref="A8:F8">
    <cfRule type="expression" dxfId="1063" priority="152">
      <formula>$B$8="Speed Development"</formula>
    </cfRule>
    <cfRule type="expression" dxfId="1062" priority="151">
      <formula>$B$8="Lactate Tolerance"</formula>
    </cfRule>
    <cfRule type="expression" dxfId="1061" priority="150">
      <formula>$B$8="VO2 Max"</formula>
    </cfRule>
    <cfRule type="expression" dxfId="1060" priority="149">
      <formula>$B$8="Threshold"</formula>
    </cfRule>
    <cfRule type="expression" dxfId="1059" priority="148">
      <formula>$B$8="Turnover and Pace Work"</formula>
    </cfRule>
    <cfRule type="expression" dxfId="1058" priority="147">
      <formula>$B$8="Aerobic Running"</formula>
    </cfRule>
    <cfRule type="expression" dxfId="1057" priority="146">
      <formula>$B$8="Stretching and Mobility"</formula>
    </cfRule>
    <cfRule type="expression" dxfId="1056" priority="145">
      <formula>$B$8="Recovery"</formula>
    </cfRule>
  </conditionalFormatting>
  <conditionalFormatting sqref="A9:F9">
    <cfRule type="expression" dxfId="1055" priority="140">
      <formula>$B$9="Turnover and Pace Work"</formula>
    </cfRule>
    <cfRule type="expression" dxfId="1054" priority="143">
      <formula>$B$9="Lactate Tolerance"</formula>
    </cfRule>
    <cfRule type="expression" dxfId="1053" priority="142">
      <formula>$B$9="VO2 Max"</formula>
    </cfRule>
    <cfRule type="expression" dxfId="1052" priority="141">
      <formula>$B$9="Threshold"</formula>
    </cfRule>
    <cfRule type="expression" dxfId="1051" priority="144">
      <formula>$B$9="Speed Development"</formula>
    </cfRule>
    <cfRule type="expression" dxfId="1050" priority="139">
      <formula>$B$9="Aerobic Running"</formula>
    </cfRule>
    <cfRule type="expression" dxfId="1049" priority="138">
      <formula>$B$9="Stretching and Mobility"</formula>
    </cfRule>
    <cfRule type="expression" dxfId="1048" priority="137">
      <formula>$B$9="Recovery"</formula>
    </cfRule>
  </conditionalFormatting>
  <conditionalFormatting sqref="A10:F10">
    <cfRule type="expression" dxfId="1047" priority="136">
      <formula>$B$10="Speed Development"</formula>
    </cfRule>
    <cfRule type="expression" dxfId="1046" priority="135">
      <formula>$B$10="Lactate Tolerance"</formula>
    </cfRule>
    <cfRule type="expression" dxfId="1045" priority="134">
      <formula>$B$10="VO2 Max"</formula>
    </cfRule>
    <cfRule type="expression" dxfId="1044" priority="133">
      <formula>$B$10="Threshold"</formula>
    </cfRule>
    <cfRule type="expression" dxfId="1043" priority="132">
      <formula>$B$10="Turnover and Pace Work"</formula>
    </cfRule>
    <cfRule type="expression" dxfId="1042" priority="131">
      <formula>$B$10="Aerobic Running"</formula>
    </cfRule>
    <cfRule type="expression" dxfId="1041" priority="130">
      <formula>$B$10="Stretching and Mobility"</formula>
    </cfRule>
    <cfRule type="expression" dxfId="1040" priority="129">
      <formula>$B$10="Recovery"</formula>
    </cfRule>
  </conditionalFormatting>
  <conditionalFormatting sqref="A11:F11">
    <cfRule type="expression" dxfId="1039" priority="128">
      <formula>$B$11="Speed Development"</formula>
    </cfRule>
    <cfRule type="expression" dxfId="1038" priority="127">
      <formula>$B$11="Lactate Tolerance"</formula>
    </cfRule>
    <cfRule type="expression" dxfId="1037" priority="126">
      <formula>$B$11="VO2 Max"</formula>
    </cfRule>
    <cfRule type="expression" dxfId="1036" priority="125">
      <formula>$B$11="Threshold"</formula>
    </cfRule>
    <cfRule type="expression" dxfId="1035" priority="124">
      <formula>$B$11="Turnover and Pace Work"</formula>
    </cfRule>
    <cfRule type="expression" dxfId="1034" priority="123">
      <formula>$B$11="Aerobic Running"</formula>
    </cfRule>
    <cfRule type="expression" dxfId="1033" priority="122">
      <formula>$B$11="Stretching and Mobility"</formula>
    </cfRule>
    <cfRule type="expression" dxfId="1032" priority="121">
      <formula>$B$11="Recovery"</formula>
    </cfRule>
  </conditionalFormatting>
  <conditionalFormatting sqref="A12:F12">
    <cfRule type="expression" dxfId="1031" priority="120">
      <formula>$B$12="Speed Development"</formula>
    </cfRule>
    <cfRule type="expression" dxfId="1030" priority="119">
      <formula>$B$12="Lactate Tolerance"</formula>
    </cfRule>
    <cfRule type="expression" dxfId="1029" priority="118">
      <formula>$B$12="VO2 Max"</formula>
    </cfRule>
    <cfRule type="expression" dxfId="1028" priority="117">
      <formula>$B$12="Threshold"</formula>
    </cfRule>
    <cfRule type="expression" dxfId="1027" priority="116">
      <formula>$B$12="Turnover and Pace Work"</formula>
    </cfRule>
    <cfRule type="expression" dxfId="1026" priority="115">
      <formula>$B$12="Aerobic Running"</formula>
    </cfRule>
    <cfRule type="expression" dxfId="1025" priority="114">
      <formula>$B$12="Stretching and Mobility"</formula>
    </cfRule>
    <cfRule type="expression" dxfId="1024" priority="113">
      <formula>$B$12="Recovery"</formula>
    </cfRule>
  </conditionalFormatting>
  <conditionalFormatting sqref="A13:F13">
    <cfRule type="expression" dxfId="1023" priority="112">
      <formula>$B$13="Speed Development"</formula>
    </cfRule>
    <cfRule type="expression" dxfId="1022" priority="111">
      <formula>$B$13="Lactate Tolerance"</formula>
    </cfRule>
    <cfRule type="expression" dxfId="1021" priority="110">
      <formula>$B$13="VO2 Max"</formula>
    </cfRule>
    <cfRule type="expression" dxfId="1020" priority="109">
      <formula>$B$13="Threshold"</formula>
    </cfRule>
    <cfRule type="expression" dxfId="1019" priority="108">
      <formula>$B$13="Turnover and Pace Work"</formula>
    </cfRule>
    <cfRule type="expression" dxfId="1018" priority="107">
      <formula>$B$13="Aerobic Running"</formula>
    </cfRule>
    <cfRule type="expression" dxfId="1017" priority="106">
      <formula>$B$13="Stretching and Mobility"</formula>
    </cfRule>
    <cfRule type="expression" dxfId="1016" priority="105">
      <formula>$B$13="Recovery"</formula>
    </cfRule>
  </conditionalFormatting>
  <conditionalFormatting sqref="A14:F14">
    <cfRule type="expression" dxfId="1015" priority="104">
      <formula>$B$14="Speed Development"</formula>
    </cfRule>
    <cfRule type="expression" dxfId="1014" priority="103">
      <formula>$B$14="Lactate Tolerance"</formula>
    </cfRule>
    <cfRule type="expression" dxfId="1013" priority="102">
      <formula>$B$14="VO2 Max"</formula>
    </cfRule>
    <cfRule type="expression" dxfId="1012" priority="101">
      <formula>$B$14="Threshold"</formula>
    </cfRule>
    <cfRule type="expression" dxfId="1011" priority="100">
      <formula>$B$14="Turnover and Pace Work"</formula>
    </cfRule>
    <cfRule type="expression" dxfId="1010" priority="99">
      <formula>$B$14="Aerobic Running"</formula>
    </cfRule>
    <cfRule type="expression" dxfId="1009" priority="98">
      <formula>$B$14="Stretching and Mobility"</formula>
    </cfRule>
    <cfRule type="expression" dxfId="1008" priority="97">
      <formula>$B$14="Recovery"</formula>
    </cfRule>
  </conditionalFormatting>
  <conditionalFormatting sqref="A15:F15">
    <cfRule type="expression" dxfId="1007" priority="93">
      <formula>$B$15="Threshold"</formula>
    </cfRule>
    <cfRule type="expression" dxfId="1006" priority="90">
      <formula>$B$15="Stretching and Mobility"</formula>
    </cfRule>
    <cfRule type="expression" dxfId="1005" priority="91">
      <formula>$B$15="Aerobic Running"</formula>
    </cfRule>
    <cfRule type="expression" dxfId="1004" priority="92">
      <formula>$B$15="Turnover and Pace Work"</formula>
    </cfRule>
    <cfRule type="expression" dxfId="1003" priority="89">
      <formula>$B$15="Recovery"</formula>
    </cfRule>
    <cfRule type="expression" dxfId="1002" priority="94">
      <formula>$B$15="VO2 Max"</formula>
    </cfRule>
    <cfRule type="expression" dxfId="1001" priority="95">
      <formula>$B$15="Lactate Tolerance"</formula>
    </cfRule>
    <cfRule type="expression" dxfId="1000" priority="96">
      <formula>$B$15="Speed Development"</formula>
    </cfRule>
  </conditionalFormatting>
  <conditionalFormatting sqref="A16:F16">
    <cfRule type="expression" dxfId="999" priority="88">
      <formula>$B$16="Speed Development"</formula>
    </cfRule>
    <cfRule type="expression" dxfId="998" priority="87">
      <formula>$B$16="Lactate Tolerance"</formula>
    </cfRule>
    <cfRule type="expression" dxfId="997" priority="86">
      <formula>$B$16="VO2 Max"</formula>
    </cfRule>
    <cfRule type="expression" dxfId="996" priority="85">
      <formula>$B$16="Threshold"</formula>
    </cfRule>
    <cfRule type="expression" dxfId="995" priority="84">
      <formula>$B$16="Turnover and Pace Work"</formula>
    </cfRule>
    <cfRule type="expression" dxfId="994" priority="83">
      <formula>$B$16="Aerobic Running"</formula>
    </cfRule>
    <cfRule type="expression" dxfId="993" priority="82">
      <formula>$B$16="Stretching and Mobility"</formula>
    </cfRule>
    <cfRule type="expression" dxfId="992" priority="81">
      <formula>$B$16="Recovery"</formula>
    </cfRule>
  </conditionalFormatting>
  <conditionalFormatting sqref="A17:F17">
    <cfRule type="expression" dxfId="991" priority="80">
      <formula>$B$17="Speed Development"</formula>
    </cfRule>
    <cfRule type="expression" dxfId="990" priority="79">
      <formula>$B$17="Lactate Tolerance"</formula>
    </cfRule>
    <cfRule type="expression" dxfId="989" priority="78">
      <formula>$B$17="VO2 Max"</formula>
    </cfRule>
    <cfRule type="expression" dxfId="988" priority="77">
      <formula>$B$17="Threshold"</formula>
    </cfRule>
    <cfRule type="expression" dxfId="987" priority="76">
      <formula>$B$17="Turnover and Pace Work"</formula>
    </cfRule>
    <cfRule type="expression" dxfId="986" priority="75">
      <formula>$B$17="Aerobic Running"</formula>
    </cfRule>
    <cfRule type="expression" dxfId="985" priority="74">
      <formula>$B$17="Stretching and Mobility"</formula>
    </cfRule>
    <cfRule type="expression" dxfId="984" priority="73">
      <formula>$B$17="Recovery"</formula>
    </cfRule>
  </conditionalFormatting>
  <conditionalFormatting sqref="A18:F18">
    <cfRule type="expression" dxfId="983" priority="72">
      <formula>$B$18="Speed Development"</formula>
    </cfRule>
    <cfRule type="expression" dxfId="982" priority="71">
      <formula>$B$18="Lactate Tolerance"</formula>
    </cfRule>
    <cfRule type="expression" dxfId="981" priority="70">
      <formula>$B$18="VO2 Max"</formula>
    </cfRule>
    <cfRule type="expression" dxfId="980" priority="69">
      <formula>$B$18="Threshold"</formula>
    </cfRule>
    <cfRule type="expression" dxfId="979" priority="68">
      <formula>$B$18="Turnover and Pace Work"</formula>
    </cfRule>
    <cfRule type="expression" dxfId="978" priority="67">
      <formula>$B$18="Aerobic Running"</formula>
    </cfRule>
    <cfRule type="expression" dxfId="977" priority="66">
      <formula>$B$18="Stretching and Mobility"</formula>
    </cfRule>
    <cfRule type="expression" dxfId="976" priority="65">
      <formula>$B$18="Recovery"</formula>
    </cfRule>
  </conditionalFormatting>
  <conditionalFormatting sqref="A19:F19">
    <cfRule type="expression" dxfId="975" priority="64">
      <formula>$B$19="Speed Development"</formula>
    </cfRule>
    <cfRule type="expression" dxfId="974" priority="63">
      <formula>$B$19="Lactate Tolerance"</formula>
    </cfRule>
    <cfRule type="expression" dxfId="973" priority="62">
      <formula>$B$19="VO2 Max"</formula>
    </cfRule>
    <cfRule type="expression" dxfId="972" priority="61">
      <formula>$B$19="Threshold"</formula>
    </cfRule>
    <cfRule type="expression" dxfId="971" priority="60">
      <formula>$B$19="Turnover and Pace Work"</formula>
    </cfRule>
    <cfRule type="expression" dxfId="970" priority="59">
      <formula>$B$19="Aerobic Running"</formula>
    </cfRule>
    <cfRule type="expression" dxfId="969" priority="58">
      <formula>$B$19="Stretching and Mobility"</formula>
    </cfRule>
    <cfRule type="expression" dxfId="968" priority="57">
      <formula>$B$19="Recovery"</formula>
    </cfRule>
  </conditionalFormatting>
  <conditionalFormatting sqref="A20:F20">
    <cfRule type="expression" dxfId="967" priority="56">
      <formula>$B$20="Speed Development"</formula>
    </cfRule>
    <cfRule type="expression" dxfId="966" priority="55">
      <formula>$B$20="Lactate Tolerance"</formula>
    </cfRule>
    <cfRule type="expression" dxfId="965" priority="54">
      <formula>$B$20="VO2 Max"</formula>
    </cfRule>
    <cfRule type="expression" dxfId="964" priority="53">
      <formula>$B$20="Threshold"</formula>
    </cfRule>
    <cfRule type="expression" dxfId="963" priority="52">
      <formula>$B$20="Turnover and Pace Work"</formula>
    </cfRule>
    <cfRule type="expression" dxfId="962" priority="51">
      <formula>$B$20="Aerobic Running"</formula>
    </cfRule>
    <cfRule type="expression" dxfId="961" priority="50">
      <formula>$B$20="Stretching and Mobility"</formula>
    </cfRule>
    <cfRule type="expression" dxfId="960" priority="49">
      <formula>$B$20="Recovery"</formula>
    </cfRule>
  </conditionalFormatting>
  <conditionalFormatting sqref="A21:F21">
    <cfRule type="expression" dxfId="959" priority="48">
      <formula>$B$21="Speed Development"</formula>
    </cfRule>
    <cfRule type="expression" dxfId="958" priority="47">
      <formula>$B$21="Lactate Tolerance"</formula>
    </cfRule>
    <cfRule type="expression" dxfId="957" priority="46">
      <formula>$B$21="VO2 Max"</formula>
    </cfRule>
    <cfRule type="expression" dxfId="956" priority="45">
      <formula>$B$21="Threshold"</formula>
    </cfRule>
    <cfRule type="expression" dxfId="955" priority="44">
      <formula>$B$21="Turnover and Pace Work"</formula>
    </cfRule>
    <cfRule type="expression" dxfId="954" priority="43">
      <formula>$B$21="Aerobic Running"</formula>
    </cfRule>
    <cfRule type="expression" dxfId="953" priority="42">
      <formula>$B$21="Stretching and Mobility"</formula>
    </cfRule>
    <cfRule type="expression" dxfId="952" priority="41">
      <formula>$B$21="Recovery"</formula>
    </cfRule>
  </conditionalFormatting>
  <conditionalFormatting sqref="A22:F22">
    <cfRule type="expression" dxfId="951" priority="40">
      <formula>$B$22="Speed Development"</formula>
    </cfRule>
    <cfRule type="expression" dxfId="950" priority="39">
      <formula>$B$22="Lactate Tolerance"</formula>
    </cfRule>
    <cfRule type="expression" dxfId="949" priority="38">
      <formula>$B$22="VO2 Max"</formula>
    </cfRule>
    <cfRule type="expression" dxfId="948" priority="37">
      <formula>$B$22="Threshold"</formula>
    </cfRule>
    <cfRule type="expression" dxfId="947" priority="36">
      <formula>$B$22="Turnover and Pace Work"</formula>
    </cfRule>
    <cfRule type="expression" dxfId="946" priority="35">
      <formula>$B$22="Aerobic Running"</formula>
    </cfRule>
    <cfRule type="expression" dxfId="945" priority="34">
      <formula>$B$22="Stretching and Mobility"</formula>
    </cfRule>
    <cfRule type="expression" dxfId="944" priority="33">
      <formula>$B$22="Recovery"</formula>
    </cfRule>
  </conditionalFormatting>
  <conditionalFormatting sqref="A23:F23">
    <cfRule type="expression" dxfId="943" priority="32">
      <formula>$B$23="Speed Development"</formula>
    </cfRule>
    <cfRule type="expression" dxfId="942" priority="31">
      <formula>$B$23="Lactate Tolerance"</formula>
    </cfRule>
    <cfRule type="expression" dxfId="941" priority="30">
      <formula>$B$23="VO2 Max"</formula>
    </cfRule>
    <cfRule type="expression" dxfId="940" priority="29">
      <formula>$B$23="Threshold"</formula>
    </cfRule>
    <cfRule type="expression" dxfId="939" priority="28">
      <formula>$B$23="Turnover and Pace Work"</formula>
    </cfRule>
    <cfRule type="expression" dxfId="938" priority="27">
      <formula>$B$23="Aerobic Running"</formula>
    </cfRule>
    <cfRule type="expression" dxfId="937" priority="26">
      <formula>$B$23="Stretching and Mobility"</formula>
    </cfRule>
    <cfRule type="expression" dxfId="936" priority="25">
      <formula>$B$23="Recovery"</formula>
    </cfRule>
  </conditionalFormatting>
  <conditionalFormatting sqref="A24:F24">
    <cfRule type="expression" dxfId="935" priority="24">
      <formula>$B$24="Speed Development"</formula>
    </cfRule>
    <cfRule type="expression" dxfId="934" priority="23">
      <formula>$B$24="Lactate Tolerance"</formula>
    </cfRule>
    <cfRule type="expression" dxfId="933" priority="22">
      <formula>$B$24="VO2 Max"</formula>
    </cfRule>
    <cfRule type="expression" dxfId="932" priority="21">
      <formula>$B$24="Threshold"</formula>
    </cfRule>
    <cfRule type="expression" dxfId="931" priority="20">
      <formula>$B$24="Turnover and Pace Work"</formula>
    </cfRule>
    <cfRule type="expression" dxfId="930" priority="19">
      <formula>$B$24="Aerobic Running"</formula>
    </cfRule>
    <cfRule type="expression" dxfId="929" priority="18">
      <formula>$B$24="Stretching and Mobility"</formula>
    </cfRule>
    <cfRule type="expression" dxfId="928" priority="17">
      <formula>$B$24="Recovery"</formula>
    </cfRule>
  </conditionalFormatting>
  <conditionalFormatting sqref="A25:F25">
    <cfRule type="expression" dxfId="927" priority="16">
      <formula>$B$25="Speed Development"</formula>
    </cfRule>
    <cfRule type="expression" dxfId="926" priority="15">
      <formula>$B$25="Lactate Tolerance"</formula>
    </cfRule>
    <cfRule type="expression" dxfId="925" priority="14">
      <formula>$B$25="VO2 Max"</formula>
    </cfRule>
    <cfRule type="expression" dxfId="924" priority="13">
      <formula>$B$25="Threshold"</formula>
    </cfRule>
    <cfRule type="expression" dxfId="923" priority="12">
      <formula>$B$25="Turnover and Pace Work"</formula>
    </cfRule>
    <cfRule type="expression" dxfId="922" priority="11">
      <formula>$B$25="Aerobic Running"</formula>
    </cfRule>
    <cfRule type="expression" dxfId="921" priority="10">
      <formula>$B$25="Stretching and Mobility"</formula>
    </cfRule>
    <cfRule type="expression" dxfId="920" priority="9">
      <formula>$B$25="Recovery"</formula>
    </cfRule>
  </conditionalFormatting>
  <conditionalFormatting sqref="A26:F26">
    <cfRule type="expression" dxfId="919" priority="8">
      <formula>$B$26="Speed Development"</formula>
    </cfRule>
    <cfRule type="expression" dxfId="918" priority="7">
      <formula>$B$26="Lactate Tolerance"</formula>
    </cfRule>
    <cfRule type="expression" dxfId="917" priority="6">
      <formula>$B$26="VO2 Max"</formula>
    </cfRule>
    <cfRule type="expression" dxfId="916" priority="5">
      <formula>$B$26="Threshold"</formula>
    </cfRule>
    <cfRule type="expression" dxfId="915" priority="4">
      <formula>$B$26="Turnover and Pace Work"</formula>
    </cfRule>
    <cfRule type="expression" dxfId="914" priority="3">
      <formula>$B$26="Aerobic Running"</formula>
    </cfRule>
    <cfRule type="expression" dxfId="913" priority="2">
      <formula>$B$26="Stretching and Mobility"</formula>
    </cfRule>
    <cfRule type="expression" dxfId="91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E2" sqref="E2:F3"/>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45755</v>
      </c>
      <c r="C1" s="20" t="s">
        <v>96</v>
      </c>
      <c r="D1" s="20" t="s">
        <v>171</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206</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0.967741935483871</v>
      </c>
      <c r="Q4" s="28">
        <f>SUMIF($B$4:$B$26,"Aerobic Running",I4:I26)</f>
        <v>3.5</v>
      </c>
      <c r="R4" s="28">
        <f>SUMIF($B$4:$B$26,"Aerobic Running",J4:J26)</f>
        <v>8</v>
      </c>
      <c r="S4" s="39">
        <f>Q4/$Q$10</f>
        <v>0.93333333333333335</v>
      </c>
      <c r="T4" s="39">
        <f>R4/$R$10</f>
        <v>0.96969696969696972</v>
      </c>
    </row>
    <row r="5" spans="1:20" ht="50" customHeight="1">
      <c r="A5" s="6" t="s">
        <v>42</v>
      </c>
      <c r="B5" s="6" t="str">
        <f>_xlfn.XLOOKUP(A5,TrainingTable[Training Component],TrainingTable[Category of Training Stimulus],"")</f>
        <v>Turnover and Pace Work</v>
      </c>
      <c r="C5" s="6" t="s">
        <v>55</v>
      </c>
      <c r="D5" s="6" t="s">
        <v>67</v>
      </c>
      <c r="E5" s="83" t="s">
        <v>207</v>
      </c>
      <c r="F5" s="83"/>
      <c r="G5" s="23">
        <v>1</v>
      </c>
      <c r="H5" s="23">
        <v>2</v>
      </c>
      <c r="I5" s="23">
        <v>0.25</v>
      </c>
      <c r="J5" s="23">
        <v>0.25</v>
      </c>
      <c r="K5" s="2"/>
      <c r="L5" s="29" t="s">
        <v>34</v>
      </c>
      <c r="M5" s="30">
        <f>SUMIF($B$4:$B$26,"Turnover and Pace Work",G4:G26)</f>
        <v>1</v>
      </c>
      <c r="N5" s="30">
        <f>SUMIF($B$4:$B$26,"Turnover and Pace Work",H4:H26)</f>
        <v>2</v>
      </c>
      <c r="O5" s="40">
        <f t="shared" si="0"/>
        <v>3.2258064516129031E-2</v>
      </c>
      <c r="P5" s="40">
        <f t="shared" si="1"/>
        <v>3.2258064516129031E-2</v>
      </c>
      <c r="Q5" s="30">
        <f>SUMIF($B$4:$B$26,"Turnover and Pace Work",I4:I26)</f>
        <v>0.25</v>
      </c>
      <c r="R5" s="30">
        <f>SUMIF($B$4:$B$26,"Turnover and Pace Work",J4:J26)</f>
        <v>0.25</v>
      </c>
      <c r="S5" s="40">
        <f t="shared" ref="S5:S10" si="2">Q5/$Q$10</f>
        <v>6.6666666666666666E-2</v>
      </c>
      <c r="T5" s="40">
        <f t="shared" ref="T5:T10" si="3">R5/$R$10</f>
        <v>3.0303030303030304E-2</v>
      </c>
    </row>
    <row r="6" spans="1:20" ht="50" customHeight="1">
      <c r="A6" s="6" t="s">
        <v>21</v>
      </c>
      <c r="B6" s="6" t="str">
        <f>_xlfn.XLOOKUP(A6,TrainingTable[Training Component],TrainingTable[Category of Training Stimulus],"")</f>
        <v>Stretching and Mobility</v>
      </c>
      <c r="C6" s="6" t="s">
        <v>55</v>
      </c>
      <c r="D6" s="6" t="s">
        <v>64</v>
      </c>
      <c r="E6" s="83" t="s">
        <v>200</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31</v>
      </c>
      <c r="N10" s="23">
        <f>SUM(N4:N9)</f>
        <v>62</v>
      </c>
      <c r="O10" s="47">
        <f>M10/M10</f>
        <v>1</v>
      </c>
      <c r="P10" s="45">
        <f t="shared" si="1"/>
        <v>1</v>
      </c>
      <c r="Q10" s="23">
        <f>SUM(Q4:Q9)</f>
        <v>3.75</v>
      </c>
      <c r="R10" s="23">
        <f>SUM(R4:R9)</f>
        <v>8.25</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11" priority="224">
      <formula>$B$4="Speed Development"</formula>
    </cfRule>
    <cfRule type="expression" dxfId="910" priority="223">
      <formula>$B$4="Lactate Tolerance"</formula>
    </cfRule>
    <cfRule type="expression" dxfId="909" priority="222">
      <formula>$B$4="VO2 Max"</formula>
    </cfRule>
    <cfRule type="expression" dxfId="908" priority="221">
      <formula>$B$4="Threshold"</formula>
    </cfRule>
    <cfRule type="expression" dxfId="907" priority="220">
      <formula>$B$4="Turnover and Pace Work"</formula>
    </cfRule>
    <cfRule type="expression" dxfId="906" priority="219">
      <formula>$B$4="Aerobic Running"</formula>
    </cfRule>
    <cfRule type="expression" dxfId="905" priority="218">
      <formula>$B$4="Stretching and Mobility"</formula>
    </cfRule>
    <cfRule type="expression" dxfId="904" priority="217">
      <formula>$B$4="Recovery"</formula>
    </cfRule>
  </conditionalFormatting>
  <conditionalFormatting sqref="A5:F5">
    <cfRule type="expression" dxfId="903" priority="212">
      <formula>$B$5="Turnover and Pace Work"</formula>
    </cfRule>
    <cfRule type="expression" dxfId="902" priority="215">
      <formula>$B$5="Lactate Tolerance"</formula>
    </cfRule>
    <cfRule type="expression" dxfId="901" priority="214">
      <formula>$B$5="VO2 Max"</formula>
    </cfRule>
    <cfRule type="expression" dxfId="900" priority="213">
      <formula>$B$5="Threshold"</formula>
    </cfRule>
    <cfRule type="expression" dxfId="899" priority="216">
      <formula>$B$5="Speed Development"</formula>
    </cfRule>
    <cfRule type="expression" dxfId="898" priority="211">
      <formula>$B$5="Aerobic Running"</formula>
    </cfRule>
    <cfRule type="expression" dxfId="897" priority="210">
      <formula>$B$5="Stretching and Mobility"</formula>
    </cfRule>
    <cfRule type="expression" dxfId="896" priority="209">
      <formula>$B$5="Recovery"</formula>
    </cfRule>
  </conditionalFormatting>
  <conditionalFormatting sqref="A6:F6">
    <cfRule type="expression" dxfId="895" priority="208">
      <formula>$B$6="Speed Development"</formula>
    </cfRule>
    <cfRule type="expression" dxfId="894" priority="207">
      <formula>$B$6="Lactate Tolerance"</formula>
    </cfRule>
    <cfRule type="expression" dxfId="893" priority="206">
      <formula>$B$6="VO2 Max"</formula>
    </cfRule>
    <cfRule type="expression" dxfId="892" priority="205">
      <formula>$B$6="Threshold"</formula>
    </cfRule>
    <cfRule type="expression" dxfId="891" priority="204">
      <formula>$B$6="Turnover and Pace Work"</formula>
    </cfRule>
    <cfRule type="expression" dxfId="890" priority="203">
      <formula>$B$6="Aerobic Running"</formula>
    </cfRule>
    <cfRule type="expression" dxfId="889" priority="202">
      <formula>$B$6="Stretching and Mobility"</formula>
    </cfRule>
    <cfRule type="expression" dxfId="888" priority="201">
      <formula>$B$6="Recovery"</formula>
    </cfRule>
  </conditionalFormatting>
  <conditionalFormatting sqref="A7:F8">
    <cfRule type="expression" dxfId="887" priority="1">
      <formula>$B$7="Recovery"</formula>
    </cfRule>
    <cfRule type="expression" dxfId="886" priority="7">
      <formula>$B$7="Lactate Tolerance"</formula>
    </cfRule>
    <cfRule type="expression" dxfId="885" priority="3">
      <formula>$B$7="Aerobic Running"</formula>
    </cfRule>
    <cfRule type="expression" dxfId="884" priority="8">
      <formula>$B$7="Speed Development"</formula>
    </cfRule>
    <cfRule type="expression" dxfId="883" priority="4">
      <formula>$B$7="Turnover and Pace Work"</formula>
    </cfRule>
    <cfRule type="expression" dxfId="882" priority="5">
      <formula>$B$7="Threshold"</formula>
    </cfRule>
    <cfRule type="expression" dxfId="881" priority="6">
      <formula>$B$7="VO2 Max"</formula>
    </cfRule>
    <cfRule type="expression" dxfId="880" priority="2">
      <formula>$B$7="Stretching and Mobility"</formula>
    </cfRule>
  </conditionalFormatting>
  <conditionalFormatting sqref="A9:F9">
    <cfRule type="expression" dxfId="879" priority="184">
      <formula>$B$9="Speed Development"</formula>
    </cfRule>
    <cfRule type="expression" dxfId="878" priority="183">
      <formula>$B$9="Lactate Tolerance"</formula>
    </cfRule>
    <cfRule type="expression" dxfId="877" priority="182">
      <formula>$B$9="VO2 Max"</formula>
    </cfRule>
    <cfRule type="expression" dxfId="876" priority="181">
      <formula>$B$9="Threshold"</formula>
    </cfRule>
    <cfRule type="expression" dxfId="875" priority="180">
      <formula>$B$9="Turnover and Pace Work"</formula>
    </cfRule>
    <cfRule type="expression" dxfId="874" priority="179">
      <formula>$B$9="Aerobic Running"</formula>
    </cfRule>
    <cfRule type="expression" dxfId="873" priority="178">
      <formula>$B$9="Stretching and Mobility"</formula>
    </cfRule>
    <cfRule type="expression" dxfId="872" priority="177">
      <formula>$B$9="Recovery"</formula>
    </cfRule>
  </conditionalFormatting>
  <conditionalFormatting sqref="A10:F10">
    <cfRule type="expression" dxfId="871" priority="169">
      <formula>$B$10="Recovery"</formula>
    </cfRule>
    <cfRule type="expression" dxfId="870" priority="176">
      <formula>$B$10="Speed Development"</formula>
    </cfRule>
    <cfRule type="expression" dxfId="869" priority="175">
      <formula>$B$10="Lactate Tolerance"</formula>
    </cfRule>
    <cfRule type="expression" dxfId="868" priority="174">
      <formula>$B$10="VO2 Max"</formula>
    </cfRule>
    <cfRule type="expression" dxfId="867" priority="173">
      <formula>$B$10="Threshold"</formula>
    </cfRule>
    <cfRule type="expression" dxfId="866" priority="172">
      <formula>$B$10="Turnover and Pace Work"</formula>
    </cfRule>
    <cfRule type="expression" dxfId="865" priority="171">
      <formula>$B$10="Aerobic Running"</formula>
    </cfRule>
    <cfRule type="expression" dxfId="864" priority="170">
      <formula>$B$10="Stretching and Mobility"</formula>
    </cfRule>
  </conditionalFormatting>
  <conditionalFormatting sqref="A11:F11">
    <cfRule type="expression" dxfId="863" priority="161">
      <formula>$B$11="Recovery"</formula>
    </cfRule>
    <cfRule type="expression" dxfId="862" priority="168">
      <formula>$B$11="Speed Development"</formula>
    </cfRule>
    <cfRule type="expression" dxfId="861" priority="167">
      <formula>$B$11="Lactate Tolerance"</formula>
    </cfRule>
    <cfRule type="expression" dxfId="860" priority="166">
      <formula>$B$11="VO2 Max"</formula>
    </cfRule>
    <cfRule type="expression" dxfId="859" priority="165">
      <formula>$B$11="Threshold"</formula>
    </cfRule>
    <cfRule type="expression" dxfId="858" priority="164">
      <formula>$B$11="Turnover and Pace Work"</formula>
    </cfRule>
    <cfRule type="expression" dxfId="857" priority="163">
      <formula>$B$11="Aerobic Running"</formula>
    </cfRule>
    <cfRule type="expression" dxfId="856" priority="162">
      <formula>$B$11="Stretching and Mobility"</formula>
    </cfRule>
  </conditionalFormatting>
  <conditionalFormatting sqref="A12:F12">
    <cfRule type="expression" dxfId="855" priority="157">
      <formula>$B$12="Threshold"</formula>
    </cfRule>
    <cfRule type="expression" dxfId="854" priority="153">
      <formula>$B$12="Recovery"</formula>
    </cfRule>
    <cfRule type="expression" dxfId="853" priority="159">
      <formula>$B$12="Lactate Tolerance"</formula>
    </cfRule>
    <cfRule type="expression" dxfId="852" priority="158">
      <formula>$B$12="VO2 Max"</formula>
    </cfRule>
    <cfRule type="expression" dxfId="851" priority="160">
      <formula>$B$12="Speed Development"</formula>
    </cfRule>
    <cfRule type="expression" dxfId="850" priority="156">
      <formula>$B$12="Turnover and Pace Work"</formula>
    </cfRule>
    <cfRule type="expression" dxfId="849" priority="155">
      <formula>$B$12="Aerobic Running"</formula>
    </cfRule>
    <cfRule type="expression" dxfId="848" priority="154">
      <formula>$B$12="Stretching and Mobility"</formula>
    </cfRule>
  </conditionalFormatting>
  <conditionalFormatting sqref="A13:F13">
    <cfRule type="expression" dxfId="847" priority="145">
      <formula>$B$13="Recovery"</formula>
    </cfRule>
    <cfRule type="expression" dxfId="846" priority="152">
      <formula>$B$13="Speed Development"</formula>
    </cfRule>
    <cfRule type="expression" dxfId="845" priority="151">
      <formula>$B$13="Lactate Tolerance"</formula>
    </cfRule>
    <cfRule type="expression" dxfId="844" priority="150">
      <formula>$B$13="VO2 Max"</formula>
    </cfRule>
    <cfRule type="expression" dxfId="843" priority="149">
      <formula>$B$13="Threshold"</formula>
    </cfRule>
    <cfRule type="expression" dxfId="842" priority="148">
      <formula>$B$13="Turnover and Pace Work"</formula>
    </cfRule>
    <cfRule type="expression" dxfId="841" priority="147">
      <formula>$B$13="Aerobic Running"</formula>
    </cfRule>
    <cfRule type="expression" dxfId="840" priority="146">
      <formula>$B$13="Stretching and Mobility"</formula>
    </cfRule>
  </conditionalFormatting>
  <conditionalFormatting sqref="A14:F14">
    <cfRule type="expression" dxfId="839" priority="144">
      <formula>$B$14="Speed Development"</formula>
    </cfRule>
    <cfRule type="expression" dxfId="838" priority="143">
      <formula>$B$14="Lactate Tolerance"</formula>
    </cfRule>
    <cfRule type="expression" dxfId="837" priority="142">
      <formula>$B$14="VO2 Max"</formula>
    </cfRule>
    <cfRule type="expression" dxfId="836" priority="141">
      <formula>$B$14="Threshold"</formula>
    </cfRule>
    <cfRule type="expression" dxfId="835" priority="140">
      <formula>$B$14="Turnover and Pace Work"</formula>
    </cfRule>
    <cfRule type="expression" dxfId="834" priority="139">
      <formula>$B$14="Aerobic Running"</formula>
    </cfRule>
    <cfRule type="expression" dxfId="833" priority="138">
      <formula>$B$14="Stretching and Mobility"</formula>
    </cfRule>
    <cfRule type="expression" dxfId="832" priority="137">
      <formula>$B$14="Recovery"</formula>
    </cfRule>
  </conditionalFormatting>
  <conditionalFormatting sqref="A15:F15">
    <cfRule type="expression" dxfId="831" priority="132">
      <formula>$B$15="Turnover and Pace Work"</formula>
    </cfRule>
    <cfRule type="expression" dxfId="830" priority="136">
      <formula>$B$15="Speed Development"</formula>
    </cfRule>
    <cfRule type="expression" dxfId="829" priority="135">
      <formula>$B$15="Lactate Tolerance"</formula>
    </cfRule>
    <cfRule type="expression" dxfId="828" priority="133">
      <formula>$B$15="Threshold"</formula>
    </cfRule>
    <cfRule type="expression" dxfId="827" priority="131">
      <formula>$B$15="Aerobic Running"</formula>
    </cfRule>
    <cfRule type="expression" dxfId="826" priority="130">
      <formula>$B$15="Stretching and Mobility"</formula>
    </cfRule>
    <cfRule type="expression" dxfId="825" priority="129">
      <formula>$B$15="Recovery"</formula>
    </cfRule>
    <cfRule type="expression" dxfId="824" priority="134">
      <formula>$B$15="VO2 Max"</formula>
    </cfRule>
  </conditionalFormatting>
  <conditionalFormatting sqref="A16:F16">
    <cfRule type="expression" dxfId="823" priority="122">
      <formula>$B$16="Stretching and Mobility"</formula>
    </cfRule>
    <cfRule type="expression" dxfId="822" priority="124">
      <formula>$B$16="Turnover and Pace Work"</formula>
    </cfRule>
    <cfRule type="expression" dxfId="821" priority="125">
      <formula>$B$16="Threshold"</formula>
    </cfRule>
    <cfRule type="expression" dxfId="820" priority="126">
      <formula>$B$16="VO2 Max"</formula>
    </cfRule>
    <cfRule type="expression" dxfId="819" priority="127">
      <formula>$B$16="Lactate Tolerance"</formula>
    </cfRule>
    <cfRule type="expression" dxfId="818" priority="128">
      <formula>$B$16="Speed Development"</formula>
    </cfRule>
    <cfRule type="expression" dxfId="817" priority="121">
      <formula>$B$16="Recovery"</formula>
    </cfRule>
    <cfRule type="expression" dxfId="816" priority="123">
      <formula>$B$16="Aerobic Running"</formula>
    </cfRule>
  </conditionalFormatting>
  <conditionalFormatting sqref="A17:F17">
    <cfRule type="expression" dxfId="815" priority="119">
      <formula>$B$17="Lactate Tolerance"</formula>
    </cfRule>
    <cfRule type="expression" dxfId="814" priority="118">
      <formula>$B$17="VO2 Max"</formula>
    </cfRule>
    <cfRule type="expression" dxfId="813" priority="117">
      <formula>$B$17="Threshold"</formula>
    </cfRule>
    <cfRule type="expression" dxfId="812" priority="116">
      <formula>$B$17="Turnover and Pace Work"</formula>
    </cfRule>
    <cfRule type="expression" dxfId="811" priority="120">
      <formula>$B$17="Speed Development"</formula>
    </cfRule>
    <cfRule type="expression" dxfId="810" priority="115">
      <formula>$B$17="Aerobic Running"</formula>
    </cfRule>
    <cfRule type="expression" dxfId="809" priority="114">
      <formula>$B$17="Stretching and Mobility"</formula>
    </cfRule>
    <cfRule type="expression" dxfId="808" priority="113">
      <formula>$B$17="Recovery"</formula>
    </cfRule>
  </conditionalFormatting>
  <conditionalFormatting sqref="A18:F18">
    <cfRule type="expression" dxfId="807" priority="105">
      <formula>$B$18="Recovery"</formula>
    </cfRule>
    <cfRule type="expression" dxfId="806" priority="112">
      <formula>$B$18="Speed Development"</formula>
    </cfRule>
    <cfRule type="expression" dxfId="805" priority="111">
      <formula>$B$18="Lactate Tolerance"</formula>
    </cfRule>
    <cfRule type="expression" dxfId="804" priority="110">
      <formula>$B$18="VO2 Max"</formula>
    </cfRule>
    <cfRule type="expression" dxfId="803" priority="109">
      <formula>$B$18="Threshold"</formula>
    </cfRule>
    <cfRule type="expression" dxfId="802" priority="108">
      <formula>$B$18="Turnover and Pace Work"</formula>
    </cfRule>
    <cfRule type="expression" dxfId="801" priority="107">
      <formula>$B$18="Aerobic Running"</formula>
    </cfRule>
    <cfRule type="expression" dxfId="800" priority="106">
      <formula>$B$18="Stretching and Mobility"</formula>
    </cfRule>
  </conditionalFormatting>
  <conditionalFormatting sqref="A19:F19">
    <cfRule type="expression" dxfId="799" priority="101">
      <formula>$B$19="Threshold"</formula>
    </cfRule>
    <cfRule type="expression" dxfId="798" priority="97">
      <formula>$B$19="Recovery"</formula>
    </cfRule>
    <cfRule type="expression" dxfId="797" priority="103">
      <formula>$B$19="Lactate Tolerance"</formula>
    </cfRule>
    <cfRule type="expression" dxfId="796" priority="102">
      <formula>$B$19="VO2 Max"</formula>
    </cfRule>
    <cfRule type="expression" dxfId="795" priority="104">
      <formula>$B$19="Speed Development"</formula>
    </cfRule>
    <cfRule type="expression" dxfId="794" priority="100">
      <formula>$B$19="Turnover and Pace Work"</formula>
    </cfRule>
    <cfRule type="expression" dxfId="793" priority="99">
      <formula>$B$19="Aerobic Running"</formula>
    </cfRule>
    <cfRule type="expression" dxfId="792" priority="98">
      <formula>$B$19="Stretching and Mobility"</formula>
    </cfRule>
  </conditionalFormatting>
  <conditionalFormatting sqref="A20:F20">
    <cfRule type="expression" dxfId="791" priority="89">
      <formula>$B$20="Recovery"</formula>
    </cfRule>
    <cfRule type="expression" dxfId="790" priority="96">
      <formula>$B$20="Speed Development"</formula>
    </cfRule>
    <cfRule type="expression" dxfId="789" priority="95">
      <formula>$B$20="Lactate Tolerance"</formula>
    </cfRule>
    <cfRule type="expression" dxfId="788" priority="94">
      <formula>$B$20="VO2 Max"</formula>
    </cfRule>
    <cfRule type="expression" dxfId="787" priority="93">
      <formula>$B$20="Threshold"</formula>
    </cfRule>
    <cfRule type="expression" dxfId="786" priority="92">
      <formula>$B$20="Turnover and Pace Work"</formula>
    </cfRule>
    <cfRule type="expression" dxfId="785" priority="91">
      <formula>$B$20="Aerobic Running"</formula>
    </cfRule>
    <cfRule type="expression" dxfId="784" priority="90">
      <formula>$B$20="Stretching and Mobility"</formula>
    </cfRule>
  </conditionalFormatting>
  <conditionalFormatting sqref="A21:F21">
    <cfRule type="expression" dxfId="783" priority="88">
      <formula>$B$21="Speed Development"</formula>
    </cfRule>
    <cfRule type="expression" dxfId="782" priority="87">
      <formula>$B$21="Lactate Tolerance"</formula>
    </cfRule>
    <cfRule type="expression" dxfId="781" priority="86">
      <formula>$B$21="VO2 Max"</formula>
    </cfRule>
    <cfRule type="expression" dxfId="780" priority="85">
      <formula>$B$21="Threshold"</formula>
    </cfRule>
    <cfRule type="expression" dxfId="779" priority="84">
      <formula>$B$21="Turnover and Pace Work"</formula>
    </cfRule>
    <cfRule type="expression" dxfId="778" priority="83">
      <formula>$B$21="Aerobic Running"</formula>
    </cfRule>
    <cfRule type="expression" dxfId="777" priority="82">
      <formula>$B$21="Stretching and Mobility"</formula>
    </cfRule>
    <cfRule type="expression" dxfId="776" priority="81">
      <formula>$B$21="Recovery"</formula>
    </cfRule>
  </conditionalFormatting>
  <conditionalFormatting sqref="A22:F22">
    <cfRule type="expression" dxfId="775" priority="73">
      <formula>$B$22="Recovery"</formula>
    </cfRule>
    <cfRule type="expression" dxfId="774" priority="80">
      <formula>$B$22="Speed Development"</formula>
    </cfRule>
    <cfRule type="expression" dxfId="773" priority="79">
      <formula>$B$22="Lactate Tolerance"</formula>
    </cfRule>
    <cfRule type="expression" dxfId="772" priority="78">
      <formula>$B$22="VO2 Max"</formula>
    </cfRule>
    <cfRule type="expression" dxfId="771" priority="77">
      <formula>$B$22="Threshold"</formula>
    </cfRule>
    <cfRule type="expression" dxfId="770" priority="76">
      <formula>$B$22="Turnover and Pace Work"</formula>
    </cfRule>
    <cfRule type="expression" dxfId="769" priority="75">
      <formula>$B$22="Aerobic Running"</formula>
    </cfRule>
    <cfRule type="expression" dxfId="768" priority="74">
      <formula>$B$22="Stretching and Mobility"</formula>
    </cfRule>
  </conditionalFormatting>
  <conditionalFormatting sqref="A23:F23">
    <cfRule type="expression" dxfId="767" priority="65">
      <formula>$B$23="Recovery"</formula>
    </cfRule>
    <cfRule type="expression" dxfId="766" priority="72">
      <formula>$B$23="Speed Development"</formula>
    </cfRule>
    <cfRule type="expression" dxfId="765" priority="71">
      <formula>$B$23="Lactate Tolerance"</formula>
    </cfRule>
    <cfRule type="expression" dxfId="764" priority="70">
      <formula>$B$23="VO2 Max"</formula>
    </cfRule>
    <cfRule type="expression" dxfId="763" priority="69">
      <formula>$B$23="Threshold"</formula>
    </cfRule>
    <cfRule type="expression" dxfId="762" priority="68">
      <formula>$B$23="Turnover and Pace Work"</formula>
    </cfRule>
    <cfRule type="expression" dxfId="761" priority="67">
      <formula>$B$23="Aerobic Running"</formula>
    </cfRule>
    <cfRule type="expression" dxfId="760" priority="66">
      <formula>$B$23="Stretching and Mobility"</formula>
    </cfRule>
  </conditionalFormatting>
  <conditionalFormatting sqref="A24:F24">
    <cfRule type="expression" dxfId="759" priority="57">
      <formula>$B$24="Recovery"</formula>
    </cfRule>
    <cfRule type="expression" dxfId="758" priority="64">
      <formula>$B$24="Speed Development"</formula>
    </cfRule>
    <cfRule type="expression" dxfId="757" priority="63">
      <formula>$B$24="Lactate Tolerance"</formula>
    </cfRule>
    <cfRule type="expression" dxfId="756" priority="62">
      <formula>$B$24="VO2 Max"</formula>
    </cfRule>
    <cfRule type="expression" dxfId="755" priority="61">
      <formula>$B$24="Threshold"</formula>
    </cfRule>
    <cfRule type="expression" dxfId="754" priority="60">
      <formula>$B$24="Turnover and Pace Work"</formula>
    </cfRule>
    <cfRule type="expression" dxfId="753" priority="59">
      <formula>$B$24="Aerobic Running"</formula>
    </cfRule>
    <cfRule type="expression" dxfId="752" priority="58">
      <formula>$B$24="Stretching and Mobility"</formula>
    </cfRule>
  </conditionalFormatting>
  <conditionalFormatting sqref="A25:F25">
    <cfRule type="expression" dxfId="751" priority="55">
      <formula>$B$25="Lactate Tolerance"</formula>
    </cfRule>
    <cfRule type="expression" dxfId="750" priority="54">
      <formula>$B$25="VO2 Max"</formula>
    </cfRule>
    <cfRule type="expression" dxfId="749" priority="53">
      <formula>$B$25="Threshold"</formula>
    </cfRule>
    <cfRule type="expression" dxfId="748" priority="52">
      <formula>$B$25="Turnover and Pace Work"</formula>
    </cfRule>
    <cfRule type="expression" dxfId="747" priority="51">
      <formula>$B$25="Aerobic Running"</formula>
    </cfRule>
    <cfRule type="expression" dxfId="746" priority="50">
      <formula>$B$25="Stretching and Mobility"</formula>
    </cfRule>
    <cfRule type="expression" dxfId="745" priority="49">
      <formula>$B$25="Recovery"</formula>
    </cfRule>
    <cfRule type="expression" dxfId="744" priority="56">
      <formula>$B$25="Speed Development"</formula>
    </cfRule>
  </conditionalFormatting>
  <conditionalFormatting sqref="A26:F26">
    <cfRule type="expression" dxfId="743" priority="48">
      <formula>$B$26="Speed Development"</formula>
    </cfRule>
    <cfRule type="expression" dxfId="742" priority="47">
      <formula>$B$26="Lactate Tolerance"</formula>
    </cfRule>
    <cfRule type="expression" dxfId="741" priority="46">
      <formula>$B$26="VO2 Max"</formula>
    </cfRule>
    <cfRule type="expression" dxfId="740" priority="45">
      <formula>$B$26="Threshold"</formula>
    </cfRule>
    <cfRule type="expression" dxfId="739" priority="44">
      <formula>$B$26="Turnover and Pace Work"</formula>
    </cfRule>
    <cfRule type="expression" dxfId="738" priority="43">
      <formula>$B$26="Aerobic Running"</formula>
    </cfRule>
    <cfRule type="expression" dxfId="737" priority="42">
      <formula>$B$26="Stretching and Mobility"</formula>
    </cfRule>
    <cfRule type="expression" dxfId="736" priority="4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9C30560-7250-5A48-8F56-DBDD72F79E69}">
          <x14:formula1>
            <xm:f>Data!$F$2:$F$50</xm:f>
          </x14:formula1>
          <xm:sqref>C1</xm:sqref>
        </x14:dataValidation>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J10" sqref="J10"/>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45756</v>
      </c>
      <c r="C1" s="20" t="s">
        <v>78</v>
      </c>
      <c r="D1" s="20" t="s">
        <v>61</v>
      </c>
      <c r="E1" s="92" t="s">
        <v>208</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210</v>
      </c>
      <c r="F4" s="83"/>
      <c r="G4" s="23">
        <v>8</v>
      </c>
      <c r="H4" s="23">
        <v>12</v>
      </c>
      <c r="I4" s="23">
        <v>1</v>
      </c>
      <c r="J4" s="23" t="s">
        <v>216</v>
      </c>
      <c r="K4" s="2"/>
      <c r="L4" s="27" t="s">
        <v>69</v>
      </c>
      <c r="M4" s="28">
        <f>SUMIF($B$4:$B$26,"Aerobic Running",G4:G26)</f>
        <v>23</v>
      </c>
      <c r="N4" s="28">
        <f>SUMIF($B$4:$B$26,"Aerobic Running",H4:H26)</f>
        <v>52</v>
      </c>
      <c r="O4" s="39">
        <f t="shared" ref="O4:O9" si="0">M4/$M$10</f>
        <v>0.85185185185185186</v>
      </c>
      <c r="P4" s="39">
        <f t="shared" ref="P4:P10" si="1">N4/$N$10</f>
        <v>0.8666666666666667</v>
      </c>
      <c r="Q4" s="28">
        <f>SUMIF($B$4:$B$26,"Aerobic Running",I4:I26)</f>
        <v>3</v>
      </c>
      <c r="R4" s="28">
        <f>SUMIF($B$4:$B$26,"Aerobic Running",J4:J26)</f>
        <v>5</v>
      </c>
      <c r="S4" s="39">
        <f>Q4/$Q$10</f>
        <v>0.75</v>
      </c>
      <c r="T4" s="39">
        <f>R4/$R$10</f>
        <v>0.75757575757575757</v>
      </c>
    </row>
    <row r="5" spans="1:20" ht="50" customHeight="1">
      <c r="A5" s="6" t="s">
        <v>19</v>
      </c>
      <c r="B5" s="6" t="str">
        <f>_xlfn.XLOOKUP(A5,TrainingTable[Training Component],TrainingTable[Category of Training Stimulus],"")</f>
        <v>Stretching and Mobility</v>
      </c>
      <c r="C5" s="6" t="s">
        <v>55</v>
      </c>
      <c r="D5" s="6" t="s">
        <v>67</v>
      </c>
      <c r="E5" s="83" t="s">
        <v>213</v>
      </c>
      <c r="F5" s="83"/>
      <c r="G5" s="23">
        <v>5</v>
      </c>
      <c r="H5" s="23">
        <v>5</v>
      </c>
      <c r="I5" s="23">
        <v>0.1</v>
      </c>
      <c r="J5" s="23">
        <v>0.2</v>
      </c>
      <c r="K5" s="2"/>
      <c r="L5" s="29" t="s">
        <v>34</v>
      </c>
      <c r="M5" s="30">
        <f>SUMIF($B$4:$B$26,"Turnover and Pace Work",G4:G26)</f>
        <v>2</v>
      </c>
      <c r="N5" s="30">
        <f>SUMIF($B$4:$B$26,"Turnover and Pace Work",H4:H26)</f>
        <v>2</v>
      </c>
      <c r="O5" s="40">
        <f t="shared" si="0"/>
        <v>7.407407407407407E-2</v>
      </c>
      <c r="P5" s="40">
        <f t="shared" si="1"/>
        <v>3.3333333333333333E-2</v>
      </c>
      <c r="Q5" s="30">
        <f>SUMIF($B$4:$B$26,"Turnover and Pace Work",I4:I26)</f>
        <v>0.5</v>
      </c>
      <c r="R5" s="30">
        <f>SUMIF($B$4:$B$26,"Turnover and Pace Work",J4:J26)</f>
        <v>0.6</v>
      </c>
      <c r="S5" s="40">
        <f t="shared" ref="S5:S10" si="2">Q5/$Q$10</f>
        <v>0.125</v>
      </c>
      <c r="T5" s="40">
        <f t="shared" ref="T5:T10" si="3">R5/$R$10</f>
        <v>9.0909090909090912E-2</v>
      </c>
    </row>
    <row r="6" spans="1:20" ht="50" customHeight="1">
      <c r="A6" s="6" t="s">
        <v>43</v>
      </c>
      <c r="B6" s="6" t="str">
        <f>_xlfn.XLOOKUP(A6,TrainingTable[Training Component],TrainingTable[Category of Training Stimulus],"")</f>
        <v>Turnover and Pace Work</v>
      </c>
      <c r="C6" s="6" t="s">
        <v>56</v>
      </c>
      <c r="D6" s="6" t="s">
        <v>64</v>
      </c>
      <c r="E6" s="83" t="s">
        <v>212</v>
      </c>
      <c r="F6" s="83"/>
      <c r="G6" s="23">
        <v>1</v>
      </c>
      <c r="H6" s="23">
        <v>1</v>
      </c>
      <c r="I6" s="23">
        <v>0.2</v>
      </c>
      <c r="J6" s="23">
        <v>0.3</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78</v>
      </c>
      <c r="B7" s="6" t="str">
        <f>_xlfn.XLOOKUP(A7,TrainingTable[Training Component],TrainingTable[Category of Training Stimulus],"")</f>
        <v>Lactate Tolerance</v>
      </c>
      <c r="C7" s="6" t="s">
        <v>56</v>
      </c>
      <c r="D7" s="6" t="s">
        <v>64</v>
      </c>
      <c r="E7" s="83" t="s">
        <v>211</v>
      </c>
      <c r="F7" s="83"/>
      <c r="G7" s="23">
        <v>2</v>
      </c>
      <c r="H7" s="23">
        <v>6</v>
      </c>
      <c r="I7" s="23">
        <v>0.5</v>
      </c>
      <c r="J7" s="23">
        <v>1</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14</v>
      </c>
      <c r="B8" s="6" t="str">
        <f>_xlfn.XLOOKUP(A8,TrainingTable[Training Component],TrainingTable[Category of Training Stimulus],"")</f>
        <v>Aerobic Running</v>
      </c>
      <c r="C8" s="6" t="s">
        <v>55</v>
      </c>
      <c r="D8" s="6" t="s">
        <v>67</v>
      </c>
      <c r="E8" s="83" t="s">
        <v>214</v>
      </c>
      <c r="F8" s="83"/>
      <c r="G8" s="23">
        <v>15</v>
      </c>
      <c r="H8" s="23">
        <v>40</v>
      </c>
      <c r="I8" s="23">
        <v>2</v>
      </c>
      <c r="J8" s="23">
        <v>5</v>
      </c>
      <c r="K8" s="2"/>
      <c r="L8" s="33" t="s">
        <v>2</v>
      </c>
      <c r="M8" s="34">
        <f>SUMIF($B$4:$B$26,"Lactate Tolerance",G4:G26)</f>
        <v>2</v>
      </c>
      <c r="N8" s="34">
        <f>SUMIF($B$4:$B$26,"Lactate Tolerance",H4:H26)</f>
        <v>6</v>
      </c>
      <c r="O8" s="43">
        <f t="shared" si="0"/>
        <v>7.407407407407407E-2</v>
      </c>
      <c r="P8" s="43">
        <f t="shared" si="1"/>
        <v>0.1</v>
      </c>
      <c r="Q8" s="34">
        <f>SUMIF($B$4:$B$26,"Lactate Tolerance",I4:I26)</f>
        <v>0.5</v>
      </c>
      <c r="R8" s="34">
        <f>SUMIF($B$4:$B$26,"Lactate Tolerance",J4:J26)</f>
        <v>1</v>
      </c>
      <c r="S8" s="43">
        <f t="shared" si="2"/>
        <v>0.125</v>
      </c>
      <c r="T8" s="43">
        <f t="shared" si="3"/>
        <v>0.15151515151515152</v>
      </c>
    </row>
    <row r="9" spans="1:20" ht="50" customHeight="1">
      <c r="A9" s="6" t="s">
        <v>42</v>
      </c>
      <c r="B9" s="6" t="str">
        <f>_xlfn.XLOOKUP(A9,TrainingTable[Training Component],TrainingTable[Category of Training Stimulus],"")</f>
        <v>Turnover and Pace Work</v>
      </c>
      <c r="C9" s="6" t="s">
        <v>55</v>
      </c>
      <c r="D9" s="6" t="s">
        <v>67</v>
      </c>
      <c r="E9" s="83" t="s">
        <v>215</v>
      </c>
      <c r="F9" s="83"/>
      <c r="G9" s="23">
        <v>1</v>
      </c>
      <c r="H9" s="23">
        <v>1</v>
      </c>
      <c r="I9" s="23">
        <v>0.3</v>
      </c>
      <c r="J9" s="23">
        <v>0.3</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27</v>
      </c>
      <c r="N10" s="23">
        <f>SUM(N4:N9)</f>
        <v>60</v>
      </c>
      <c r="O10" s="47">
        <f>M10/M10</f>
        <v>1</v>
      </c>
      <c r="P10" s="45">
        <f t="shared" si="1"/>
        <v>1</v>
      </c>
      <c r="Q10" s="23">
        <f>SUM(Q4:Q9)</f>
        <v>4</v>
      </c>
      <c r="R10" s="23">
        <f>SUM(R4:R9)</f>
        <v>6.6</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B1" zoomScale="140" zoomScaleNormal="140" workbookViewId="0">
      <selection activeCell="G7" sqref="G7"/>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45757</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217</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3.5</v>
      </c>
      <c r="R4" s="28">
        <f>SUMIF($B$4:$B$26,"Aerobic Running",J4:J26)</f>
        <v>8</v>
      </c>
      <c r="S4" s="39">
        <f>Q4/$Q$10</f>
        <v>0.92105263157894746</v>
      </c>
      <c r="T4" s="39">
        <f>R4/$R$10</f>
        <v>0.96385542168674687</v>
      </c>
    </row>
    <row r="5" spans="1:20" ht="50" customHeight="1">
      <c r="A5" s="6" t="s">
        <v>42</v>
      </c>
      <c r="B5" s="6" t="str">
        <f>_xlfn.XLOOKUP(A5,TrainingTable[Training Component],TrainingTable[Category of Training Stimulus],"")</f>
        <v>Turnover and Pace Work</v>
      </c>
      <c r="C5" s="6" t="s">
        <v>55</v>
      </c>
      <c r="D5" s="6" t="s">
        <v>67</v>
      </c>
      <c r="E5" s="83" t="s">
        <v>201</v>
      </c>
      <c r="F5" s="83"/>
      <c r="G5" s="23">
        <v>1</v>
      </c>
      <c r="H5" s="23">
        <v>1</v>
      </c>
      <c r="I5" s="23">
        <v>0.3</v>
      </c>
      <c r="J5" s="23">
        <v>0.3</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0.3</v>
      </c>
      <c r="R5" s="30">
        <f>SUMIF($B$4:$B$26,"Turnover and Pace Work",J4:J26)</f>
        <v>0.3</v>
      </c>
      <c r="S5" s="40">
        <f t="shared" ref="S5:S10" si="2">Q5/$Q$10</f>
        <v>7.8947368421052627E-2</v>
      </c>
      <c r="T5" s="40">
        <f t="shared" ref="T5:T10" si="3">R5/$R$10</f>
        <v>3.614457831325301E-2</v>
      </c>
    </row>
    <row r="6" spans="1:20" ht="50" customHeight="1">
      <c r="A6" s="6" t="s">
        <v>21</v>
      </c>
      <c r="B6" s="6" t="str">
        <f>_xlfn.XLOOKUP(A6,TrainingTable[Training Component],TrainingTable[Category of Training Stimulus],"")</f>
        <v>Stretching and Mobility</v>
      </c>
      <c r="C6" s="6" t="s">
        <v>55</v>
      </c>
      <c r="D6" s="6" t="s">
        <v>64</v>
      </c>
      <c r="E6" s="83" t="s">
        <v>209</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c r="C10" s="6"/>
      <c r="D10" s="6"/>
      <c r="E10" s="93"/>
      <c r="F10" s="94"/>
      <c r="G10" s="23"/>
      <c r="H10" s="23"/>
      <c r="I10" s="23"/>
      <c r="J10" s="23"/>
      <c r="K10" s="2"/>
      <c r="L10" s="46" t="s">
        <v>72</v>
      </c>
      <c r="M10" s="23">
        <f>SUM(M4:M9)</f>
        <v>31</v>
      </c>
      <c r="N10" s="23">
        <f>SUM(N4:N9)</f>
        <v>61</v>
      </c>
      <c r="O10" s="47">
        <f>M10/M10</f>
        <v>1</v>
      </c>
      <c r="P10" s="45">
        <f t="shared" si="1"/>
        <v>1</v>
      </c>
      <c r="Q10" s="23">
        <f>SUM(Q4:Q9)</f>
        <v>3.8</v>
      </c>
      <c r="R10" s="23">
        <f>SUM(R4:R9)</f>
        <v>8.3000000000000007</v>
      </c>
      <c r="S10" s="47">
        <f t="shared" si="2"/>
        <v>1</v>
      </c>
      <c r="T10" s="47">
        <f t="shared" si="3"/>
        <v>1</v>
      </c>
    </row>
    <row r="11" spans="1:20" ht="50" customHeight="1">
      <c r="A11" s="6"/>
      <c r="B11" s="6"/>
      <c r="C11" s="6"/>
      <c r="D11" s="6"/>
      <c r="E11" s="83"/>
      <c r="F11" s="83"/>
      <c r="G11" s="23"/>
      <c r="H11" s="23"/>
      <c r="I11" s="23"/>
      <c r="J11" s="23"/>
      <c r="K11" s="2"/>
      <c r="L11" s="24"/>
      <c r="M11" s="16"/>
      <c r="N11" s="16"/>
      <c r="O11" s="16"/>
      <c r="P11" s="16"/>
      <c r="Q11" s="16"/>
      <c r="R11" s="2"/>
      <c r="S11" s="16"/>
      <c r="T11" s="16"/>
    </row>
    <row r="12" spans="1:20" ht="50" customHeight="1">
      <c r="A12" s="6"/>
      <c r="B12" s="6"/>
      <c r="C12" s="6"/>
      <c r="D12" s="6"/>
      <c r="E12" s="83"/>
      <c r="F12" s="83"/>
      <c r="G12" s="23"/>
      <c r="H12" s="23"/>
      <c r="I12" s="23"/>
      <c r="J12" s="23"/>
      <c r="K12" s="2"/>
      <c r="L12" s="24"/>
      <c r="M12" s="16"/>
      <c r="N12" s="16"/>
      <c r="O12" s="16"/>
      <c r="P12" s="16"/>
      <c r="Q12" s="16"/>
      <c r="R12" s="2"/>
      <c r="S12" s="16"/>
      <c r="T12" s="16"/>
    </row>
    <row r="13" spans="1:20" ht="50" customHeight="1">
      <c r="A13" s="6"/>
      <c r="B13" s="6"/>
      <c r="C13" s="6"/>
      <c r="D13" s="6"/>
      <c r="E13" s="83"/>
      <c r="F13" s="83"/>
      <c r="G13" s="23"/>
      <c r="H13" s="23"/>
      <c r="I13" s="23"/>
      <c r="J13" s="23"/>
      <c r="K13" s="2"/>
      <c r="L13" s="24"/>
      <c r="M13" s="16"/>
      <c r="N13" s="16"/>
      <c r="O13" s="16"/>
      <c r="P13" s="16"/>
      <c r="Q13" s="16"/>
      <c r="R13" s="2"/>
      <c r="S13" s="16"/>
      <c r="T13" s="16"/>
    </row>
    <row r="14" spans="1:20" ht="50" customHeight="1">
      <c r="A14" s="6"/>
      <c r="B14" s="6"/>
      <c r="C14" s="6"/>
      <c r="D14" s="6"/>
      <c r="E14" s="83"/>
      <c r="F14" s="83"/>
      <c r="G14" s="23"/>
      <c r="H14" s="23"/>
      <c r="I14" s="23"/>
      <c r="J14" s="23"/>
      <c r="K14" s="2"/>
      <c r="L14" s="24"/>
      <c r="M14" s="16"/>
      <c r="N14" s="16"/>
      <c r="O14" s="16"/>
      <c r="P14" s="16"/>
      <c r="Q14" s="16"/>
      <c r="R14" s="2"/>
      <c r="S14" s="16"/>
      <c r="T14" s="16"/>
    </row>
    <row r="15" spans="1:20" ht="50" customHeight="1">
      <c r="A15" s="6"/>
      <c r="B15" s="6"/>
      <c r="C15" s="6"/>
      <c r="D15" s="6"/>
      <c r="E15" s="83"/>
      <c r="F15" s="83"/>
      <c r="G15" s="23"/>
      <c r="H15" s="23"/>
      <c r="I15" s="23"/>
      <c r="J15" s="23"/>
      <c r="K15" s="2"/>
      <c r="L15" s="24"/>
      <c r="M15" s="16"/>
      <c r="N15" s="16"/>
      <c r="O15" s="16"/>
      <c r="P15" s="16"/>
      <c r="Q15" s="16"/>
      <c r="R15" s="2"/>
      <c r="S15" s="16"/>
      <c r="T15" s="16"/>
    </row>
    <row r="16" spans="1:20" ht="50" customHeight="1">
      <c r="A16" s="6"/>
      <c r="B16" s="6"/>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topLeftCell="A2" zoomScale="140" zoomScaleNormal="140" workbookViewId="0">
      <selection activeCell="A9" sqref="A9"/>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45758</v>
      </c>
      <c r="C1" s="20" t="s">
        <v>95</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218</v>
      </c>
      <c r="F4" s="83"/>
      <c r="G4" s="23">
        <v>15</v>
      </c>
      <c r="H4" s="23">
        <v>15</v>
      </c>
      <c r="I4" s="23">
        <v>1.75</v>
      </c>
      <c r="J4" s="23">
        <v>2</v>
      </c>
      <c r="K4" s="2"/>
      <c r="L4" s="27" t="s">
        <v>69</v>
      </c>
      <c r="M4" s="28">
        <f>SUMIF($B$4:$B$26,"Aerobic Running",G4:G26)</f>
        <v>30</v>
      </c>
      <c r="N4" s="28">
        <f>SUMIF($B$4:$B$26,"Aerobic Running",H4:H26)</f>
        <v>35</v>
      </c>
      <c r="O4" s="39">
        <f t="shared" ref="O4:O9" si="0">M4/$M$10</f>
        <v>0.7142857142857143</v>
      </c>
      <c r="P4" s="39">
        <f t="shared" ref="P4:P10" si="1">N4/$N$10</f>
        <v>0.64814814814814814</v>
      </c>
      <c r="Q4" s="28">
        <f>SUMIF($B$4:$B$26,"Aerobic Running",I4:I26)</f>
        <v>3.5</v>
      </c>
      <c r="R4" s="28">
        <f>SUMIF($B$4:$B$26,"Aerobic Running",J4:J26)</f>
        <v>4.5</v>
      </c>
      <c r="S4" s="39">
        <f>Q4/$Q$10</f>
        <v>0.65420560747663559</v>
      </c>
      <c r="T4" s="39">
        <f>R4/$R$10</f>
        <v>0.5921052631578948</v>
      </c>
    </row>
    <row r="5" spans="1:20" ht="50" customHeight="1">
      <c r="A5" s="6" t="s">
        <v>19</v>
      </c>
      <c r="B5" s="6" t="str">
        <f>_xlfn.XLOOKUP(A5,TrainingTable[Training Component],TrainingTable[Category of Training Stimulus],"")</f>
        <v>Stretching and Mobility</v>
      </c>
      <c r="C5" s="6" t="s">
        <v>55</v>
      </c>
      <c r="D5" s="6" t="s">
        <v>67</v>
      </c>
      <c r="E5" s="83" t="s">
        <v>192</v>
      </c>
      <c r="F5" s="83"/>
      <c r="G5" s="23">
        <v>5</v>
      </c>
      <c r="H5" s="23">
        <v>5</v>
      </c>
      <c r="I5" s="23">
        <v>0.2</v>
      </c>
      <c r="J5" s="23">
        <v>0.2</v>
      </c>
      <c r="K5" s="2"/>
      <c r="L5" s="29" t="s">
        <v>34</v>
      </c>
      <c r="M5" s="30">
        <f>SUMIF($B$4:$B$26,"Turnover and Pace Work",G4:G26)</f>
        <v>4</v>
      </c>
      <c r="N5" s="30">
        <f>SUMIF($B$4:$B$26,"Turnover and Pace Work",H4:H26)</f>
        <v>4</v>
      </c>
      <c r="O5" s="40">
        <f t="shared" si="0"/>
        <v>9.5238095238095233E-2</v>
      </c>
      <c r="P5" s="40">
        <f t="shared" si="1"/>
        <v>7.407407407407407E-2</v>
      </c>
      <c r="Q5" s="30">
        <f>SUMIF($B$4:$B$26,"Turnover and Pace Work",I4:I26)</f>
        <v>0.6</v>
      </c>
      <c r="R5" s="30">
        <f>SUMIF($B$4:$B$26,"Turnover and Pace Work",J4:J26)</f>
        <v>0.6</v>
      </c>
      <c r="S5" s="40">
        <f t="shared" ref="S5:S10" si="2">Q5/$Q$10</f>
        <v>0.11214953271028037</v>
      </c>
      <c r="T5" s="40">
        <f t="shared" ref="T5:T10" si="3">R5/$R$10</f>
        <v>7.8947368421052627E-2</v>
      </c>
    </row>
    <row r="6" spans="1:20" ht="50" customHeight="1">
      <c r="A6" s="6" t="s">
        <v>43</v>
      </c>
      <c r="B6" s="6" t="str">
        <f>_xlfn.XLOOKUP(A6,TrainingTable[Training Component],TrainingTable[Category of Training Stimulus],"")</f>
        <v>Turnover and Pace Work</v>
      </c>
      <c r="C6" s="6" t="s">
        <v>56</v>
      </c>
      <c r="D6" s="6" t="s">
        <v>64</v>
      </c>
      <c r="E6" s="83" t="s">
        <v>219</v>
      </c>
      <c r="F6" s="83"/>
      <c r="G6" s="23">
        <v>2</v>
      </c>
      <c r="H6" s="23">
        <v>2</v>
      </c>
      <c r="I6" s="23">
        <v>0.3</v>
      </c>
      <c r="J6" s="23">
        <v>0.3</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28</v>
      </c>
      <c r="B7" s="6" t="str">
        <f>_xlfn.XLOOKUP(A7,TrainingTable[Training Component],TrainingTable[Category of Training Stimulus],"")</f>
        <v>Lactate Tolerance</v>
      </c>
      <c r="C7" s="6" t="s">
        <v>56</v>
      </c>
      <c r="D7" s="6" t="s">
        <v>64</v>
      </c>
      <c r="E7" s="83" t="s">
        <v>220</v>
      </c>
      <c r="F7" s="83"/>
      <c r="G7" s="23">
        <v>8</v>
      </c>
      <c r="H7" s="23">
        <v>15</v>
      </c>
      <c r="I7" s="23">
        <v>1.25</v>
      </c>
      <c r="J7" s="23">
        <v>2.5</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14</v>
      </c>
      <c r="B8" s="6" t="str">
        <f>_xlfn.XLOOKUP(A8,TrainingTable[Training Component],TrainingTable[Category of Training Stimulus],"")</f>
        <v>Aerobic Running</v>
      </c>
      <c r="C8" s="6" t="s">
        <v>55</v>
      </c>
      <c r="D8" s="6" t="s">
        <v>67</v>
      </c>
      <c r="E8" s="83" t="s">
        <v>221</v>
      </c>
      <c r="F8" s="83"/>
      <c r="G8" s="23">
        <v>15</v>
      </c>
      <c r="H8" s="23">
        <v>20</v>
      </c>
      <c r="I8" s="23">
        <v>1.75</v>
      </c>
      <c r="J8" s="23">
        <v>2.5</v>
      </c>
      <c r="K8" s="2"/>
      <c r="L8" s="33" t="s">
        <v>2</v>
      </c>
      <c r="M8" s="34">
        <f>SUMIF($B$4:$B$26,"Lactate Tolerance",G4:G26)</f>
        <v>8</v>
      </c>
      <c r="N8" s="34">
        <f>SUMIF($B$4:$B$26,"Lactate Tolerance",H4:H26)</f>
        <v>15</v>
      </c>
      <c r="O8" s="43">
        <f t="shared" si="0"/>
        <v>0.19047619047619047</v>
      </c>
      <c r="P8" s="43">
        <f t="shared" si="1"/>
        <v>0.27777777777777779</v>
      </c>
      <c r="Q8" s="34">
        <f>SUMIF($B$4:$B$26,"Lactate Tolerance",I4:I26)</f>
        <v>1.25</v>
      </c>
      <c r="R8" s="34">
        <f>SUMIF($B$4:$B$26,"Lactate Tolerance",J4:J26)</f>
        <v>2.5</v>
      </c>
      <c r="S8" s="43">
        <f t="shared" si="2"/>
        <v>0.23364485981308414</v>
      </c>
      <c r="T8" s="43">
        <f t="shared" si="3"/>
        <v>0.32894736842105265</v>
      </c>
    </row>
    <row r="9" spans="1:20" ht="50" customHeight="1">
      <c r="A9" s="6" t="s">
        <v>42</v>
      </c>
      <c r="B9" s="6" t="str">
        <f>_xlfn.XLOOKUP(A9,TrainingTable[Training Component],TrainingTable[Category of Training Stimulus],"")</f>
        <v>Turnover and Pace Work</v>
      </c>
      <c r="C9" s="6" t="s">
        <v>55</v>
      </c>
      <c r="D9" s="6" t="s">
        <v>67</v>
      </c>
      <c r="E9" s="83" t="s">
        <v>202</v>
      </c>
      <c r="F9" s="83"/>
      <c r="G9" s="23">
        <v>2</v>
      </c>
      <c r="H9" s="23">
        <v>2</v>
      </c>
      <c r="I9" s="23">
        <v>0.3</v>
      </c>
      <c r="J9" s="23">
        <v>0.3</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72</v>
      </c>
      <c r="M10" s="23">
        <f>SUM(M4:M9)</f>
        <v>42</v>
      </c>
      <c r="N10" s="23">
        <f>SUM(N4:N9)</f>
        <v>54</v>
      </c>
      <c r="O10" s="47">
        <f>M10/M10</f>
        <v>1</v>
      </c>
      <c r="P10" s="45">
        <f t="shared" si="1"/>
        <v>1</v>
      </c>
      <c r="Q10" s="23">
        <f>SUM(Q4:Q9)</f>
        <v>5.35</v>
      </c>
      <c r="R10" s="23">
        <f>SUM(R4:R9)</f>
        <v>7.6</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J8" sqref="J8"/>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45752</v>
      </c>
      <c r="C1" s="20" t="s">
        <v>95</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77</v>
      </c>
      <c r="B4" s="6" t="str">
        <f>_xlfn.XLOOKUP(A4,TrainingTable[Training Component],TrainingTable[Category of Training Stimulus],"")</f>
        <v>Aerobic Running</v>
      </c>
      <c r="C4" s="6" t="s">
        <v>55</v>
      </c>
      <c r="D4" s="6" t="s">
        <v>67</v>
      </c>
      <c r="E4" s="83" t="s">
        <v>222</v>
      </c>
      <c r="F4" s="83"/>
      <c r="G4" s="23">
        <v>60</v>
      </c>
      <c r="H4" s="23">
        <v>90</v>
      </c>
      <c r="I4" s="23">
        <v>7</v>
      </c>
      <c r="J4" s="23">
        <v>12</v>
      </c>
      <c r="K4" s="2"/>
      <c r="L4" s="27" t="s">
        <v>69</v>
      </c>
      <c r="M4" s="28">
        <f>SUMIF($B$4:$B$26,"Aerobic Running",G4:G26)</f>
        <v>60</v>
      </c>
      <c r="N4" s="28">
        <f>SUMIF($B$4:$B$26,"Aerobic Running",H4:H26)</f>
        <v>90</v>
      </c>
      <c r="O4" s="39">
        <f t="shared" ref="O4:O9" si="0">M4/$M$10</f>
        <v>0.967741935483871</v>
      </c>
      <c r="P4" s="39">
        <f t="shared" ref="P4:P10" si="1">N4/$N$10</f>
        <v>0.97826086956521741</v>
      </c>
      <c r="Q4" s="28">
        <f>SUMIF($B$4:$B$26,"Aerobic Running",I4:I26)</f>
        <v>7</v>
      </c>
      <c r="R4" s="28">
        <f>SUMIF($B$4:$B$26,"Aerobic Running",J4:J26)</f>
        <v>12</v>
      </c>
      <c r="S4" s="39">
        <f>Q4/$Q$10</f>
        <v>0.95890410958904115</v>
      </c>
      <c r="T4" s="39">
        <f>R4/$R$10</f>
        <v>0.97560975609756095</v>
      </c>
    </row>
    <row r="5" spans="1:20" ht="50" customHeight="1">
      <c r="A5" s="6" t="s">
        <v>42</v>
      </c>
      <c r="B5" s="6" t="str">
        <f>_xlfn.XLOOKUP(A5,TrainingTable[Training Component],TrainingTable[Category of Training Stimulus],"")</f>
        <v>Turnover and Pace Work</v>
      </c>
      <c r="C5" s="6" t="s">
        <v>55</v>
      </c>
      <c r="D5" s="6" t="s">
        <v>67</v>
      </c>
      <c r="E5" s="83" t="s">
        <v>203</v>
      </c>
      <c r="F5" s="83"/>
      <c r="G5" s="23">
        <v>2</v>
      </c>
      <c r="H5" s="23">
        <v>2</v>
      </c>
      <c r="I5" s="23">
        <v>0.3</v>
      </c>
      <c r="J5" s="23">
        <v>0.3</v>
      </c>
      <c r="K5" s="2"/>
      <c r="L5" s="29" t="s">
        <v>34</v>
      </c>
      <c r="M5" s="30">
        <f>SUMIF($B$4:$B$26,"Turnover and Pace Work",G4:G26)</f>
        <v>2</v>
      </c>
      <c r="N5" s="30">
        <f>SUMIF($B$4:$B$26,"Turnover and Pace Work",H4:H26)</f>
        <v>2</v>
      </c>
      <c r="O5" s="40">
        <f t="shared" si="0"/>
        <v>3.2258064516129031E-2</v>
      </c>
      <c r="P5" s="40">
        <f t="shared" si="1"/>
        <v>2.1739130434782608E-2</v>
      </c>
      <c r="Q5" s="30">
        <f>SUMIF($B$4:$B$26,"Turnover and Pace Work",I4:I26)</f>
        <v>0.3</v>
      </c>
      <c r="R5" s="30">
        <f>SUMIF($B$4:$B$26,"Turnover and Pace Work",J4:J26)</f>
        <v>0.3</v>
      </c>
      <c r="S5" s="40">
        <f t="shared" ref="S5:S10" si="2">Q5/$Q$10</f>
        <v>4.1095890410958902E-2</v>
      </c>
      <c r="T5" s="40">
        <f t="shared" ref="T5:T10" si="3">R5/$R$10</f>
        <v>2.4390243902439022E-2</v>
      </c>
    </row>
    <row r="6" spans="1:20" ht="50" customHeight="1">
      <c r="A6" s="6" t="s">
        <v>20</v>
      </c>
      <c r="B6" s="6" t="str">
        <f>_xlfn.XLOOKUP(A6,TrainingTable[Training Component],TrainingTable[Category of Training Stimulus],"")</f>
        <v>Stretching and Mobility</v>
      </c>
      <c r="C6" s="6" t="s">
        <v>57</v>
      </c>
      <c r="D6" s="6" t="s">
        <v>57</v>
      </c>
      <c r="E6" s="83" t="s">
        <v>204</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62</v>
      </c>
      <c r="N10" s="23">
        <f>SUM(N4:N9)</f>
        <v>92</v>
      </c>
      <c r="O10" s="47">
        <f>M10/M10</f>
        <v>1</v>
      </c>
      <c r="P10" s="45">
        <f t="shared" si="1"/>
        <v>1</v>
      </c>
      <c r="Q10" s="23">
        <f>SUM(Q4:Q9)</f>
        <v>7.3</v>
      </c>
      <c r="R10" s="23">
        <f>SUM(R4:R9)</f>
        <v>12.3</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95"/>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topLeftCell="A2" zoomScale="140" zoomScaleNormal="140" workbookViewId="0">
      <selection activeCell="B1" sqref="B1"/>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c r="A9" s="6"/>
      <c r="B9" s="6"/>
      <c r="C9" s="23"/>
      <c r="D9" s="23"/>
      <c r="E9" s="6"/>
    </row>
    <row r="10" spans="1:5" ht="50" customHeight="1">
      <c r="A10" s="6"/>
      <c r="B10" s="6"/>
      <c r="C10" s="23"/>
      <c r="D10" s="23"/>
      <c r="E10" s="6"/>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177</v>
      </c>
      <c r="C31" s="14"/>
    </row>
    <row r="32" spans="1:3" ht="25" customHeight="1">
      <c r="A32" s="12" t="s">
        <v>34</v>
      </c>
      <c r="B32" s="13" t="s">
        <v>181</v>
      </c>
      <c r="C32" s="14"/>
    </row>
    <row r="33" spans="1:3" ht="25" customHeight="1">
      <c r="A33" s="12" t="s">
        <v>34</v>
      </c>
      <c r="B33" s="13" t="s">
        <v>182</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185</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178</v>
      </c>
      <c r="B41" s="2" t="s">
        <v>8</v>
      </c>
      <c r="C41" s="16">
        <v>2</v>
      </c>
      <c r="D41" s="73" t="s">
        <v>179</v>
      </c>
      <c r="E41" s="2" t="s">
        <v>180</v>
      </c>
      <c r="F41" s="2"/>
      <c r="G41" s="2"/>
      <c r="H41" s="2"/>
      <c r="I41" s="2"/>
      <c r="J41" s="2"/>
      <c r="K41" s="2"/>
      <c r="L41" s="2"/>
      <c r="M41" s="2"/>
    </row>
    <row r="42" spans="1:13" s="4" customFormat="1" ht="30" customHeight="1">
      <c r="A42" s="2" t="s">
        <v>178</v>
      </c>
      <c r="B42" s="2" t="s">
        <v>120</v>
      </c>
      <c r="C42" s="16">
        <v>2</v>
      </c>
      <c r="D42" s="73" t="s">
        <v>179</v>
      </c>
      <c r="E42" s="2" t="s">
        <v>180</v>
      </c>
      <c r="F42" s="2"/>
      <c r="G42" s="2"/>
      <c r="H42" s="2"/>
      <c r="I42" s="2"/>
      <c r="J42" s="2"/>
      <c r="K42" s="2"/>
      <c r="L42" s="2"/>
      <c r="M42" s="2"/>
    </row>
    <row r="43" spans="1:13" s="4" customFormat="1" ht="30" customHeight="1">
      <c r="A43" s="2" t="s">
        <v>183</v>
      </c>
      <c r="B43" s="2" t="s">
        <v>120</v>
      </c>
      <c r="C43" s="16">
        <v>2</v>
      </c>
      <c r="D43" s="73" t="s">
        <v>184</v>
      </c>
      <c r="E43" s="2" t="s">
        <v>189</v>
      </c>
      <c r="F43" s="2"/>
      <c r="G43" s="2"/>
      <c r="H43" s="2"/>
      <c r="I43" s="2"/>
      <c r="J43" s="2"/>
      <c r="K43" s="2"/>
      <c r="L43" s="2"/>
      <c r="M43" s="2"/>
    </row>
    <row r="44" spans="1:13" s="4" customFormat="1" ht="30" customHeight="1">
      <c r="A44" s="2" t="s">
        <v>186</v>
      </c>
      <c r="B44" s="2" t="s">
        <v>120</v>
      </c>
      <c r="C44" s="16">
        <v>2</v>
      </c>
      <c r="D44" s="73" t="s">
        <v>187</v>
      </c>
      <c r="E44" s="2" t="s">
        <v>188</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2025-04-07T02:57:00Z</dcterms:modified>
</cp:coreProperties>
</file>